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70" windowHeight="10860" activeTab="0"/>
  </bookViews>
  <sheets>
    <sheet name="Sudoku9x9" sheetId="1" r:id="rId1"/>
    <sheet name="CMSudokus" sheetId="2" r:id="rId2"/>
    <sheet name="SolutionPath" sheetId="3" r:id="rId3"/>
    <sheet name="HYPER" sheetId="4" r:id="rId4"/>
  </sheets>
  <definedNames>
    <definedName name="chSet">'Sudoku9x9'!$L$26</definedName>
    <definedName name="DIAG1">'HYPER'!$S$18</definedName>
    <definedName name="dIAG2">'HYPER'!$V$18</definedName>
    <definedName name="sCol1">'HYPER'!$V$2</definedName>
    <definedName name="sCol10">'HYPER'!$V$11</definedName>
    <definedName name="Scol11">'HYPER'!$V$12</definedName>
    <definedName name="sCol12">'HYPER'!$V$13</definedName>
    <definedName name="sCol13">'HYPER'!$V$14</definedName>
    <definedName name="sCol14">'HYPER'!$V$15</definedName>
    <definedName name="sCol15">'HYPER'!$V$16</definedName>
    <definedName name="sCol16">'HYPER'!$V$17</definedName>
    <definedName name="sCol2">'HYPER'!$V$3</definedName>
    <definedName name="sCol3">'HYPER'!$V$4</definedName>
    <definedName name="sCol4">'HYPER'!$V$5</definedName>
    <definedName name="sCol5">'HYPER'!$V$6</definedName>
    <definedName name="sCol6">'HYPER'!$V$7</definedName>
    <definedName name="sCol7">'HYPER'!$V$8</definedName>
    <definedName name="sCol8">'HYPER'!$V$9</definedName>
    <definedName name="sCol9">'HYPER'!$V$10</definedName>
    <definedName name="scol91">'Sudoku9x9'!$N$16</definedName>
    <definedName name="scol92">'Sudoku9x9'!$N$17</definedName>
    <definedName name="scol93">'Sudoku9x9'!$N$18</definedName>
    <definedName name="scol94">'Sudoku9x9'!$N$19</definedName>
    <definedName name="scol95">'Sudoku9x9'!$N$20</definedName>
    <definedName name="scol96">'Sudoku9x9'!$N$21</definedName>
    <definedName name="scol97">'Sudoku9x9'!$N$22</definedName>
    <definedName name="scol98">'Sudoku9x9'!$N$23</definedName>
    <definedName name="scol99">'Sudoku9x9'!$N$24</definedName>
    <definedName name="sEOW6">'HYPER'!$V$17</definedName>
    <definedName name="sq1B">'HYPER'!$T$2</definedName>
    <definedName name="sq2B">'HYPER'!$T$3</definedName>
    <definedName name="sq3B">'HYPER'!$T$4</definedName>
    <definedName name="sq4B">'HYPER'!$T$5</definedName>
    <definedName name="sq5B">'HYPER'!$T$6</definedName>
    <definedName name="sq6b">'HYPER'!$T$7</definedName>
    <definedName name="sq7b">'HYPER'!$T$8</definedName>
    <definedName name="sq8b">'HYPER'!$T$9</definedName>
    <definedName name="sq91">'Sudoku9x9'!$L$16</definedName>
    <definedName name="sq92">'Sudoku9x9'!$L$17</definedName>
    <definedName name="sq93">'Sudoku9x9'!$L$18</definedName>
    <definedName name="sq94">'Sudoku9x9'!$L$19</definedName>
    <definedName name="sq95">'Sudoku9x9'!$L$20</definedName>
    <definedName name="sq96">'Sudoku9x9'!$L$21</definedName>
    <definedName name="sq97">'Sudoku9x9'!$L$22</definedName>
    <definedName name="sq98">'Sudoku9x9'!$L$23</definedName>
    <definedName name="sq99">'Sudoku9x9'!$L$24</definedName>
    <definedName name="sq9b">'HYPER'!$T$10</definedName>
    <definedName name="sRow1">'HYPER'!$U$2</definedName>
    <definedName name="sRow10">'HYPER'!$U$11</definedName>
    <definedName name="sROW11">'HYPER'!$U$12</definedName>
    <definedName name="sRow12">'HYPER'!$U$13</definedName>
    <definedName name="sRow13">'HYPER'!$U$14</definedName>
    <definedName name="sROW14">'HYPER'!$U$15</definedName>
    <definedName name="sRow15">'HYPER'!$U$16</definedName>
    <definedName name="srOW16">'HYPER'!$U$17</definedName>
    <definedName name="sRow2">'HYPER'!$U$3</definedName>
    <definedName name="sRow3">'HYPER'!$U$4</definedName>
    <definedName name="sRow4">'HYPER'!$U$5</definedName>
    <definedName name="sRow5">'HYPER'!$U$6</definedName>
    <definedName name="sRow6">'HYPER'!$U$7</definedName>
    <definedName name="sRow7">'HYPER'!$U$8</definedName>
    <definedName name="srow8">'HYPER'!$U$9</definedName>
    <definedName name="sRow9">'HYPER'!$U$10</definedName>
    <definedName name="srow91">'Sudoku9x9'!$M$16</definedName>
    <definedName name="srow92">'Sudoku9x9'!$M$17</definedName>
    <definedName name="srow93">'Sudoku9x9'!$M$18</definedName>
    <definedName name="srow94">'Sudoku9x9'!$M$19</definedName>
    <definedName name="srow95">'Sudoku9x9'!$M$20</definedName>
    <definedName name="srow96">'Sudoku9x9'!$M$21</definedName>
    <definedName name="srow97">'Sudoku9x9'!$M$22</definedName>
    <definedName name="srow98">'Sudoku9x9'!$M$23</definedName>
    <definedName name="srow99">'Sudoku9x9'!$M$24</definedName>
    <definedName name="sSQ1">'HYPER'!$S$2</definedName>
    <definedName name="sSQ10">'HYPER'!$S$11</definedName>
    <definedName name="sSQ11">'HYPER'!$S$12</definedName>
    <definedName name="sSQ12">'HYPER'!$S$13</definedName>
    <definedName name="sSQ13">'HYPER'!$S$14</definedName>
    <definedName name="sSQ14">'HYPER'!$S$15</definedName>
    <definedName name="sSQ15">'HYPER'!$S$16</definedName>
    <definedName name="sSQ16">'HYPER'!$S$17</definedName>
    <definedName name="sSQ2">'HYPER'!$S$3</definedName>
    <definedName name="sSQ3">'HYPER'!$S$4</definedName>
    <definedName name="sSQ4">'HYPER'!$S$5</definedName>
    <definedName name="sSQ5">'HYPER'!$S$6</definedName>
    <definedName name="sSQ6">'HYPER'!$S$7</definedName>
    <definedName name="sSQ7">'HYPER'!$S$8</definedName>
    <definedName name="sSQ8">'HYPER'!$S$9</definedName>
    <definedName name="sSQ9">'HYPER'!$S$10</definedName>
  </definedNames>
  <calcPr fullCalcOnLoad="1"/>
</workbook>
</file>

<file path=xl/sharedStrings.xml><?xml version="1.0" encoding="utf-8"?>
<sst xmlns="http://schemas.openxmlformats.org/spreadsheetml/2006/main" count="1262" uniqueCount="422">
  <si>
    <t>RNS30</t>
  </si>
  <si>
    <t>rns32</t>
  </si>
  <si>
    <t>rns33</t>
  </si>
  <si>
    <t>-------L-  LO----ISA  -C-L-I-O-  ---N--LM-  ----S----</t>
  </si>
  <si>
    <t>-MA--C---  -N-O-M-A-  IAM----EO  -L-------</t>
  </si>
  <si>
    <t>E</t>
  </si>
  <si>
    <t>O</t>
  </si>
  <si>
    <t>P</t>
  </si>
  <si>
    <t>Y</t>
  </si>
  <si>
    <t>L</t>
  </si>
  <si>
    <t>A</t>
  </si>
  <si>
    <t>M</t>
  </si>
  <si>
    <t>N</t>
  </si>
  <si>
    <t>T</t>
  </si>
  <si>
    <t>D</t>
  </si>
  <si>
    <t>S</t>
  </si>
  <si>
    <t>R</t>
  </si>
  <si>
    <t>U</t>
  </si>
  <si>
    <t>C</t>
  </si>
  <si>
    <t>H</t>
  </si>
  <si>
    <t>I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</si>
  <si>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</si>
  <si>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</si>
  <si>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</si>
  <si>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</si>
  <si>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</si>
  <si>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</si>
  <si>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</si>
  <si>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</si>
  <si>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</si>
  <si>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</si>
  <si>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SQ11</t>
  </si>
  <si>
    <t>SQ12</t>
  </si>
  <si>
    <t>SQ13</t>
  </si>
  <si>
    <t>SQ14</t>
  </si>
  <si>
    <t>SQ15</t>
  </si>
  <si>
    <t>SQ16</t>
  </si>
  <si>
    <t>SQ</t>
  </si>
  <si>
    <t>ROW</t>
  </si>
  <si>
    <t>COL</t>
  </si>
  <si>
    <t>candidates</t>
  </si>
  <si>
    <t>Diag1</t>
  </si>
  <si>
    <t>Diag2</t>
  </si>
  <si>
    <t xml:space="preserve"> </t>
  </si>
  <si>
    <t>sq#b</t>
  </si>
  <si>
    <t>Row</t>
  </si>
  <si>
    <t>Col</t>
  </si>
  <si>
    <t>CANDIDATES</t>
  </si>
  <si>
    <t>WONDERFUL</t>
  </si>
  <si>
    <t>--AU-NC--  --T-----E  -C--T---A  N-E--T---  M---N---U</t>
  </si>
  <si>
    <t>EU----S-F  -S---AE--  ---R-S---  -E-----F-  --OEN----</t>
  </si>
  <si>
    <t>-NSO-R---  -A-SP----  --U---P-S  -----U--A</t>
  </si>
  <si>
    <t>ASPEN FOUR</t>
  </si>
  <si>
    <t>--I---P--  --O--P--T  R---S----  ---------  -G--N-RTH</t>
  </si>
  <si>
    <t>IR-T--S--  N--R-----  -T--G-N-I  GS-P-----</t>
  </si>
  <si>
    <t>HOTSPRING</t>
  </si>
  <si>
    <t>F--L-E-N-  ------W-D  N-U-W--E-  ----O----  -RD---LF-</t>
  </si>
  <si>
    <t>----E----  -O--N-F-U  U-R------  -N-U-F--L</t>
  </si>
  <si>
    <t>JA 2011 C-Sp-1</t>
  </si>
  <si>
    <t>ma 2011 C-6.</t>
  </si>
  <si>
    <t>D--E-TR-L  ----U-S--  ---D-----  L-TB---ES  ------L-U</t>
  </si>
  <si>
    <t>-B-ULD-A-  -A--E----  S-ET---R-  R----L--B</t>
  </si>
  <si>
    <t>ma 2011 C-12</t>
  </si>
  <si>
    <t>--W--R--O  -A-EB----  -T--A-L--  --------N  TE---B---</t>
  </si>
  <si>
    <t>-OR-TA--E  E-T---ROB  ----OTE--  OLAB---W-</t>
  </si>
  <si>
    <t>jf 2011 C-11</t>
  </si>
  <si>
    <t>YO---CE--  --I--E---  ---R--FT-  -Y--R-IEC  --T------</t>
  </si>
  <si>
    <t>-IFMC---Y  -C--F-M-E  I--------  F-O-Y--C-</t>
  </si>
  <si>
    <t>nd 2010 C-8.</t>
  </si>
  <si>
    <t>so 2010 C-3.</t>
  </si>
  <si>
    <t>---E-R--A  E-R---DH-  G--------  --AS-----  --GD---AC</t>
  </si>
  <si>
    <t>-----E--I  --C-R--E-  I---G---D  AD---C---</t>
  </si>
  <si>
    <t>so 2010 C-13</t>
  </si>
  <si>
    <t>--W--M--O  -P-W--M--  SI-------  ---YO---T  WY-A--O--</t>
  </si>
  <si>
    <t>O-----P-A  A-IOTW--M  ---------  -O-I-----</t>
  </si>
  <si>
    <t>ja 2010 C-7.</t>
  </si>
  <si>
    <t>I----P--D  --N--M---  ---IN--E-  S-R-I-P-M  -N----DA-</t>
  </si>
  <si>
    <t>--I--NS--  E-----AM-  NA-R--I--  RS-------</t>
  </si>
  <si>
    <t>ja 2010 C-Sp-1</t>
  </si>
  <si>
    <t>---AS----  S-----DL-  -A-----NG  U-AS--L--  -N-----I-</t>
  </si>
  <si>
    <t>--L--DA-N  AD-----O-  -IS-----L  ----NA---</t>
  </si>
  <si>
    <t>mj 2010 C-7.</t>
  </si>
  <si>
    <t>mj 2010 C-Sp-1</t>
  </si>
  <si>
    <t>---A--E-N  T---A--E-  E-----L--  --CH-UN-</t>
  </si>
  <si>
    <t>ma 2010 C-5.</t>
  </si>
  <si>
    <t>OI---LHSK  C-ST-K---  -H--O--CM  H--IT----  -----M---</t>
  </si>
  <si>
    <t>---O-HS-C  ----C--I-  --OL-S-HT  SL-HK---O</t>
  </si>
  <si>
    <t>ma 2010 C-Sp-1</t>
  </si>
  <si>
    <t>T-O-----C  -E-----S-  --AT--N-L  ---NASO--  ---E-T---</t>
  </si>
  <si>
    <t>--SPCL---  E-T--OS--  -A-----P-  S-----C-T</t>
  </si>
  <si>
    <t>jf 2010 C-3.</t>
  </si>
  <si>
    <t>-IN------  ----A--LY  --T---C-A  ----YE-N-  -RE-TA---</t>
  </si>
  <si>
    <t>--A-CNL-T  -----YER-  -A-------  --Y-IL---</t>
  </si>
  <si>
    <t>jf 2010 C-11</t>
  </si>
  <si>
    <t>I-D--O---  -------TX  ---D----S  ----O-U--  -S-E-IX--</t>
  </si>
  <si>
    <t>--EU-TM-O  --S-E----  --O----M-  M---I----</t>
  </si>
  <si>
    <t>nd 2009 C-8.</t>
  </si>
  <si>
    <t>O-MLTY-P-  ------PSO  -TA-O-YM-  S-O----T-</t>
  </si>
  <si>
    <t>nd 2009 C-Sp-1</t>
  </si>
  <si>
    <t>so 2009 C-8.</t>
  </si>
  <si>
    <t>N---S----  -IWAL--N-  P--IH----  --P------  -HI-NS-LW</t>
  </si>
  <si>
    <t>L--W---P-  W-HLP-IS-  --L---WA-  --S-WIO--</t>
  </si>
  <si>
    <t>so 2009 C-Sp-2</t>
  </si>
  <si>
    <t>ja C-11 2009</t>
  </si>
  <si>
    <t xml:space="preserve">ja C-Sp-1 2009 </t>
  </si>
  <si>
    <t>L-AO-----  H--N---O-  --L---H--  --IR-A--N</t>
  </si>
  <si>
    <t>mj 2009 C-7.</t>
  </si>
  <si>
    <t xml:space="preserve">M--F----O  -RI-O--D-  DE-N--F--  I---N---E  -M-OCI-N-   </t>
  </si>
  <si>
    <t>--NEM---C  -FD-E---I  C-E-D-MF-  NO-IF--E-</t>
  </si>
  <si>
    <t>mj 2009 C-Sp-1</t>
  </si>
  <si>
    <t>-TE---B--  --IO----E  OH-FB--A-  ---S----H  -F---B---</t>
  </si>
  <si>
    <t>-E---A-I-  -O-----HS  ---T-HI-O  ----E----</t>
  </si>
  <si>
    <t>ma 2009 cover</t>
  </si>
  <si>
    <t>I - - - - - - O -</t>
  </si>
  <si>
    <t>A - - - - - - T L</t>
  </si>
  <si>
    <t>- - - E N O - - -</t>
  </si>
  <si>
    <t>- - - - T - - - -</t>
  </si>
  <si>
    <t>S I - - - L - - -</t>
  </si>
  <si>
    <t>- - - O A - L S -</t>
  </si>
  <si>
    <t>- - E S - - O - - - - - - - -</t>
  </si>
  <si>
    <t>- - - - - N - - I - - - N - -</t>
  </si>
  <si>
    <t>- T - - - - S - - T O - - L -</t>
  </si>
  <si>
    <t xml:space="preserve">            - - - - - - E - -</t>
  </si>
  <si>
    <t xml:space="preserve">            T - O S - - - - D</t>
  </si>
  <si>
    <t xml:space="preserve">            N S - - A - - - -</t>
  </si>
  <si>
    <t xml:space="preserve">            - - - - I - - - -</t>
  </si>
  <si>
    <t xml:space="preserve">            D - L - T - - - S</t>
  </si>
  <si>
    <t xml:space="preserve">            - O E - - A - - -</t>
  </si>
  <si>
    <t>ma 2009 C-6.</t>
  </si>
  <si>
    <t>ma 2009 C-Sp-1</t>
  </si>
  <si>
    <t>A---O-H--  MN-------  --TLH-D--  -H-------  --A--ML-D</t>
  </si>
  <si>
    <t>jf 2009 C-9.</t>
  </si>
  <si>
    <t>FE-----NK  -WA--K---  --K--E--L  ---O-N-S-  --S-F-W--</t>
  </si>
  <si>
    <t>jf 2009 C-Sp-1</t>
  </si>
  <si>
    <t>N---SM-O-  A---P---S  --SO-R--P  MS--N-R--  ---M-----</t>
  </si>
  <si>
    <t>-----P--Y  ----O--AN  -I-S---Y-  -O--MNI-</t>
  </si>
  <si>
    <t>nd 2008 C-9.</t>
  </si>
  <si>
    <t>-S--A--E-  -EMD----A  H-----D-T  I-ESH----  -T-----M-</t>
  </si>
  <si>
    <t>----RTE-D  A-S-----E  E----ATI-  -R--M--A-</t>
  </si>
  <si>
    <t>nd 2008 C-Sp-1</t>
  </si>
  <si>
    <t>WIME--D--  -DY------  -MS---NE-  -NW-ESY-</t>
  </si>
  <si>
    <t>so 2008 C-8.</t>
  </si>
  <si>
    <t xml:space="preserve">so 2008 C-Sp-1    </t>
  </si>
  <si>
    <t>-M--G----  --Y--LO-S  P-S--R--G  --ORM-LGA  S-R---Y-M</t>
  </si>
  <si>
    <t>MGA-LPR--  O--L--G-R  A-GO--P--  ----A--O-</t>
  </si>
  <si>
    <t>ja 2008 X-Sp-2 Italian sudoku (one word)</t>
  </si>
  <si>
    <t>RS-----OP  TA-S-O-IE  --I---T--  -O--S--E-  ---CAT---</t>
  </si>
  <si>
    <t>-R--E--T-  --P---S--  AI-P-S-CO  SC-----PT</t>
  </si>
  <si>
    <t>D-G-L-N--  -ARO--GN-  ---------  OL-AG-R-I</t>
  </si>
  <si>
    <t>KY-----UA  ------YBS  -UAY-BK--  Y--W---AU  ----YNWC-</t>
  </si>
  <si>
    <t>--K----Y-  --W-U--S-  ---A-WU-C  --N-----B</t>
  </si>
  <si>
    <t>mj 2008 C-10</t>
  </si>
  <si>
    <t>O----S--T  --Y--A---  ---OY--E-  H-R-O-S-A  ------TW-</t>
  </si>
  <si>
    <t>--O--YH--  E-----WA-  YW-R-TO--  -H-------</t>
  </si>
  <si>
    <t xml:space="preserve">mj 2008 C-Sp-1 </t>
  </si>
  <si>
    <t>-E-W--K--  -----S-I-  Y--I-H---  -WH---GK-</t>
  </si>
  <si>
    <t>ma 2008 C-8</t>
  </si>
  <si>
    <t xml:space="preserve">C-XM---I-  -----TM-N  -M-----TC  -O-A-N---  A--C----O </t>
  </si>
  <si>
    <t>I----ET--  -----XCN-  TE--O--X-  X--N--O-T</t>
  </si>
  <si>
    <t>ma 2008 C-Sp-1</t>
  </si>
  <si>
    <t>F-----X--  --T-RIY--  --YT---S-  UI--F----</t>
  </si>
  <si>
    <t>jf 2008 C-7. Sudoku.  two words.</t>
  </si>
  <si>
    <t>-Q----UR-  S--QX--E-  ROX-E--Q-  -ERAQ-OS-  --QR-UX--</t>
  </si>
  <si>
    <t>-XB-OS-U-  -R--U-AXS  -U--SQ--R  -BS----O-</t>
  </si>
  <si>
    <t>jf 2008 C-Sp-1 Sudoku (two words)</t>
  </si>
  <si>
    <t>-ER--Y-VT  ---T---D-  LD-------  --OL----S  V---E--T-</t>
  </si>
  <si>
    <t>TS--R----  -T-D-E-S-  -Y-------  ---Y--O--</t>
  </si>
  <si>
    <t>nd 2007 X-Sp-2 Spanish Sudoku</t>
  </si>
  <si>
    <t>ED-RU----  U---T--O-  -O----UT-  ----E-RS-  R-------O</t>
  </si>
  <si>
    <t>-AD-R----  -TE----A-  -U--S---L  ----OU-ES</t>
  </si>
  <si>
    <t>nd 2007 C-Sp-1</t>
  </si>
  <si>
    <t>G--OI---M  --T-GR--H  A-I-----O  H--TR-A--  -----A---</t>
  </si>
  <si>
    <t>----OH-I-  --O---G--  I--G-L---  T-AR-----</t>
  </si>
  <si>
    <t>so 2007 C-Sp-1 Sudoku (two words)</t>
  </si>
  <si>
    <t>---I--E--  C--FD--I-  -N-------  F-RE-I---  -----O--E</t>
  </si>
  <si>
    <t>---N-R-FM  -E-----RI  ------M--  --I---ND-</t>
  </si>
  <si>
    <t>ja 2007 C-Sp-1 Sudoku (three words)</t>
  </si>
  <si>
    <t>Y-B----RN  -------Y-  S--CHY---  O--------  R--N--S--</t>
  </si>
  <si>
    <t>H----ROBE  -H--B----  --------Y  C-YE-N-S-</t>
  </si>
  <si>
    <t>mj 2007 X-Sp-2. German Literal Sudoku. (One word)</t>
  </si>
  <si>
    <t>TWEETY</t>
  </si>
  <si>
    <t>--GMH-C--  ----E-UA-  --U-----H  U-M-GE-H-  --T--M---</t>
  </si>
  <si>
    <t>----R-OBW  ---W---T-  -R-E-BM--  ETO------  --------N</t>
  </si>
  <si>
    <t>------EUM  --TM-E-R-  -MN--W---  W-B-T----</t>
  </si>
  <si>
    <t>-BW----C-  -H--C--W-  --U--BH-A  ---E-----  -U-AH-TBC</t>
  </si>
  <si>
    <t>--------H  -KATEU---  ---H---EK  --H--WA-</t>
  </si>
  <si>
    <t>jf 2007 C-Sp-1</t>
  </si>
  <si>
    <t>--T------  RI--E-A--  -------TR  O-E-UIZ--  -RZO--E--</t>
  </si>
  <si>
    <t>---E-T-U-  -E-I-O-H-  -----H--Z  T--------</t>
  </si>
  <si>
    <t>nd 2006 C-Sp-1</t>
  </si>
  <si>
    <t>May June 2006 special</t>
  </si>
  <si>
    <t>SUDOKU (P. 9)</t>
  </si>
  <si>
    <t>...|A.S|TEW</t>
  </si>
  <si>
    <t>E.G|...|...</t>
  </si>
  <si>
    <t>..T|O.W|...</t>
  </si>
  <si>
    <t>-----------</t>
  </si>
  <si>
    <t>..S|...|R.T</t>
  </si>
  <si>
    <t>.A.|G.R|WH.</t>
  </si>
  <si>
    <t>T.R|...|A..</t>
  </si>
  <si>
    <t>...|E.A|S..</t>
  </si>
  <si>
    <t>.EA|R..|H.G</t>
  </si>
  <si>
    <t>R..|S.G|..O</t>
  </si>
  <si>
    <t>--E---N--  -VDA-----  -B-N-L-V-  --L------  ---E--B-D</t>
  </si>
  <si>
    <t>---B-OR--  E--L-DOBR  --O--E-N-  A-----ELV</t>
  </si>
  <si>
    <t>HENSRATIO</t>
  </si>
  <si>
    <t>AUTHORIZE</t>
  </si>
  <si>
    <t>CONS BY HER</t>
  </si>
  <si>
    <t>MINDFORCE</t>
  </si>
  <si>
    <t>ALGORITHM</t>
  </si>
  <si>
    <t>RESULTADO</t>
  </si>
  <si>
    <t>TRYSOLVED</t>
  </si>
  <si>
    <t>SQUAREBOX</t>
  </si>
  <si>
    <t>----Y--OF  -U---ST--  --FRU-S--  --I-----O  -R--X--Y-</t>
  </si>
  <si>
    <t>SIXTYFOUR</t>
  </si>
  <si>
    <t>INCOMETAX</t>
  </si>
  <si>
    <t>-IE---YS-  ---E-W--G  -G-S-----  --Y--O-G-  K-------E</t>
  </si>
  <si>
    <t>HOKEYWIGS</t>
  </si>
  <si>
    <t>SEAWORTHY</t>
  </si>
  <si>
    <t>WACKYBUNS</t>
  </si>
  <si>
    <t xml:space="preserve">ja 2008 C-Sp-1 </t>
  </si>
  <si>
    <t xml:space="preserve">ja 2008 </t>
  </si>
  <si>
    <t>--L----G-  GOI-E-A-N  ND-----R-  ----AD---  ---GRIDL-</t>
  </si>
  <si>
    <t>GOIRELAND</t>
  </si>
  <si>
    <t>PESCATORI</t>
  </si>
  <si>
    <t>POLYGRAMS</t>
  </si>
  <si>
    <t>G-T-RID--  NR-G-E-K-  DT-I----R  E--T-R---</t>
  </si>
  <si>
    <t>---N-K--D  I----H-EK  -K-D-T-RN  --DHN-K-I  -N-----H-</t>
  </si>
  <si>
    <t>REDKNIGHT</t>
  </si>
  <si>
    <t>--AMW-IS-  -YN---WD-  ------EY-  --D--NMAE  N---Y---I</t>
  </si>
  <si>
    <t>WINDYMESA</t>
  </si>
  <si>
    <t>HARDTIMES</t>
  </si>
  <si>
    <t>PARSIMONY</t>
  </si>
  <si>
    <t>-N-E-S---  S--W--E--  ---N--SL-  AK-----FW</t>
  </si>
  <si>
    <t>SNOWFLAKE</t>
  </si>
  <si>
    <t>-M--A--TE  -LM------  E---DO---  -TO---N-A</t>
  </si>
  <si>
    <t>THEOLDMAN</t>
  </si>
  <si>
    <t>--G--T--I  -PC---OG-  RI-G-HT--  C----I-H-  --TOPGY--</t>
  </si>
  <si>
    <t>-G-H----P  --IC-R-YO  -RY---HT-  O--T--R--</t>
  </si>
  <si>
    <t>COPYRIGHT</t>
  </si>
  <si>
    <t>Cannot Be:</t>
  </si>
  <si>
    <t>TOBEAFISH</t>
  </si>
  <si>
    <t>CONFIRMED</t>
  </si>
  <si>
    <t>-A--RIF--  N-F----RI  ---U-----  U----N---  -------IU</t>
  </si>
  <si>
    <t>FINALHOUR</t>
  </si>
  <si>
    <t>SPIDERMAN</t>
  </si>
  <si>
    <t>AWLONSHIP</t>
  </si>
  <si>
    <t>ASPENFOUR</t>
  </si>
  <si>
    <t>-M----T-P  -OC-S-AL-  YLP------  -P-OMSL-Y  LS-----OT</t>
  </si>
  <si>
    <t>CYTOPLASM</t>
  </si>
  <si>
    <t>OX IS MUTED</t>
  </si>
  <si>
    <t>CERTAINLY</t>
  </si>
  <si>
    <t>CLEANPOTS</t>
  </si>
  <si>
    <t>LOCKSMITH</t>
  </si>
  <si>
    <t>BOLDRAVEN</t>
  </si>
  <si>
    <t>SINGALOUD</t>
  </si>
  <si>
    <t>ISAWMYPOT</t>
  </si>
  <si>
    <t>DISCHARGE</t>
  </si>
  <si>
    <t>FORTYMICE</t>
  </si>
  <si>
    <t>WORNTABLE</t>
  </si>
  <si>
    <t>BADRESULT</t>
  </si>
  <si>
    <t xml:space="preserve">-A------O  T--O-l-N-  NL-IV----  ----E---V  A-LT--I-- </t>
  </si>
  <si>
    <t xml:space="preserve">--R-O----  -E------N  R-----T--  O---N--E- </t>
  </si>
  <si>
    <t>TRAINVOLE</t>
  </si>
  <si>
    <t xml:space="preserve">C-12  </t>
  </si>
  <si>
    <t>---A-STEW  E-G------  --TO-W---  --S---R-T  -A-G-RWH-</t>
  </si>
  <si>
    <t>T-R---A--  ---E-AS--  -EAR--H-G  R--S-G--O</t>
  </si>
  <si>
    <t>GREATSHOW</t>
  </si>
  <si>
    <t>This is a bad example. There are two solutions, GREATSHOW and GREATSWOH.</t>
  </si>
  <si>
    <t>the only way to get the correct sol is because otherwise there is no two word solution.</t>
  </si>
  <si>
    <t>CM Sudoku from 2006 to date - compiled by PARROT</t>
  </si>
  <si>
    <t>--A-----W  --EO----L  -----AE--  -O-------  -STE----M</t>
  </si>
  <si>
    <t>--L---N--  L-------A  -N---WM--  --ON--LSE</t>
  </si>
  <si>
    <t>BION</t>
  </si>
  <si>
    <t>MANWELOST</t>
  </si>
  <si>
    <t>LUNCHMEAT</t>
  </si>
  <si>
    <t>UNGEMACHT</t>
  </si>
  <si>
    <t xml:space="preserve">--H-----N  ---A---N-  -M-------  --NG-T--M </t>
  </si>
  <si>
    <t xml:space="preserve">mj 2007 C-Sp-1  </t>
  </si>
  <si>
    <t>NUMBERTWO</t>
  </si>
  <si>
    <t>BUCKWHEAT</t>
  </si>
  <si>
    <t xml:space="preserve">MA 2007 C-Sp-1  </t>
  </si>
  <si>
    <t>--E------  ------O-R  T--NHI-S-  A------R-  -----S--</t>
  </si>
  <si>
    <t>-N-O----A  -S-RAT--N  H-I------  ------E--</t>
  </si>
  <si>
    <t>4</t>
  </si>
  <si>
    <t>5</t>
  </si>
  <si>
    <t>8</t>
  </si>
  <si>
    <t>3</t>
  </si>
  <si>
    <t>2</t>
  </si>
  <si>
    <t>7</t>
  </si>
  <si>
    <t>9</t>
  </si>
  <si>
    <t>6</t>
  </si>
  <si>
    <t>1</t>
  </si>
  <si>
    <t>F</t>
  </si>
  <si>
    <t>EXAMPLE 10-1</t>
  </si>
  <si>
    <t>MNS1</t>
  </si>
  <si>
    <t xml:space="preserve">SO 2011 C-7                              </t>
  </si>
  <si>
    <t>EMAILCONS</t>
  </si>
  <si>
    <t>ans1</t>
  </si>
  <si>
    <t>Cell 12=Singleton Candidate 8</t>
  </si>
  <si>
    <t>Cell 54=Singleton Candidate 9</t>
  </si>
  <si>
    <t>Cell 27=Single 3 in row</t>
  </si>
  <si>
    <t>Cell 53=Single 1 in row</t>
  </si>
  <si>
    <t>Cell 24=Single 2 in column</t>
  </si>
  <si>
    <t>Cell 43=Single 2 in square</t>
  </si>
  <si>
    <t>Cell 57=Single 2 in square</t>
  </si>
  <si>
    <t>CELL 44 Cannot be 48 -pair in square</t>
  </si>
  <si>
    <t>CELL 45 Cannot be 48 -pair in square</t>
  </si>
  <si>
    <t>CELL 46 Cannot be 48 -pair in square</t>
  </si>
  <si>
    <t>CELL 54 Cannot be 48 -pair in square</t>
  </si>
  <si>
    <t>CELL 64 Cannot be 48 -pair in square</t>
  </si>
  <si>
    <t>CELL 65 Cannot be 48 -pair in square</t>
  </si>
  <si>
    <t>CELL 66 Cannot be 48 -pair in square</t>
  </si>
  <si>
    <t>Cell 29=Singleton Candidate 5</t>
  </si>
  <si>
    <t>Cell 26=Single 8 in row</t>
  </si>
  <si>
    <t>Cell 55=Single 8 in row</t>
  </si>
  <si>
    <t xml:space="preserve">CELL 12 Cannot be 342 -triplet </t>
  </si>
  <si>
    <t xml:space="preserve">CELL 22 Cannot be 342 -triplet </t>
  </si>
  <si>
    <t xml:space="preserve">CELL 32 Cannot be 342 -triplet </t>
  </si>
  <si>
    <t xml:space="preserve">CELL 42 Cannot be 342 -triplet </t>
  </si>
  <si>
    <t xml:space="preserve">CELL 52 Cannot be 342 -triplet </t>
  </si>
  <si>
    <t xml:space="preserve">CELL 82 Cannot be 342 -triplet </t>
  </si>
  <si>
    <t>Cell 96=Singleton Candidate 9</t>
  </si>
  <si>
    <t>Cell 56=Single 4 in square</t>
  </si>
  <si>
    <t>CELL 92 Cannot be 58 -pair in row 9</t>
  </si>
  <si>
    <t>CELL 94 Cannot be 58 -pair in row 9</t>
  </si>
  <si>
    <t>CELL 95 Cannot be 58 -pair in row 9</t>
  </si>
  <si>
    <t>CELL 98 Cannot be 58 -pair in row 9</t>
  </si>
  <si>
    <t>CELL 71 Cannot be 58 -pair in square</t>
  </si>
  <si>
    <t>CELL 72 Cannot be 58 -pair in square</t>
  </si>
  <si>
    <t>CELL 73 Cannot be 58 -pair in square</t>
  </si>
  <si>
    <t>CELL 81 Cannot be 58 -pair in square</t>
  </si>
  <si>
    <t>CELL 82 Cannot be 58 -pair in square</t>
  </si>
  <si>
    <t>CELL 83 Cannot be 58 -pair in square</t>
  </si>
  <si>
    <t>CELL 92 Cannot be 58 -pair in square</t>
  </si>
  <si>
    <t xml:space="preserve">CELL 26 Cannot be 167 -triplet </t>
  </si>
  <si>
    <t xml:space="preserve">CELL 36 Cannot be 167 -triplet </t>
  </si>
  <si>
    <t xml:space="preserve">CELL 56 Cannot be 167 -triplet </t>
  </si>
  <si>
    <t xml:space="preserve">CELL 66 Cannot be 167 -triplet </t>
  </si>
  <si>
    <t xml:space="preserve">CELL 76 Cannot be 167 -triplet </t>
  </si>
  <si>
    <t xml:space="preserve">CELL 96 Cannot be 167 -triplet </t>
  </si>
  <si>
    <t>Cell 23=Singleton Candidate 7</t>
  </si>
  <si>
    <t>CELL 35 Cannot be 59 -pair in row 3</t>
  </si>
  <si>
    <t>CELL 37 Cannot be 59 -pair in row 3</t>
  </si>
  <si>
    <t>CELL 38 Cannot be 59 -pair in row 3</t>
  </si>
  <si>
    <t>CELL 39 Cannot be 59 -pair in row 3</t>
  </si>
  <si>
    <t>CELL 11 Cannot be 59 -pair in square</t>
  </si>
  <si>
    <t>CELL 12 Cannot be 59 -pair in square</t>
  </si>
  <si>
    <t>CELL 13 Cannot be 59 -pair in square</t>
  </si>
  <si>
    <t>CELL 21 Cannot be 59 -pair in square</t>
  </si>
  <si>
    <t>CELL 22 Cannot be 59 -pair in square</t>
  </si>
  <si>
    <t>CELL 23 Cannot be 59 -pair in square</t>
  </si>
  <si>
    <t>CELL 32 Cannot be 59 -pair in square</t>
  </si>
  <si>
    <t>CELL 48 Cannot be ON -pair in square</t>
  </si>
  <si>
    <t>CELL 57 Cannot be ON -pair in square</t>
  </si>
  <si>
    <t>CELL 58 Cannot be ON -pair in square</t>
  </si>
  <si>
    <t>CELL 59 Cannot be ON -pair in square</t>
  </si>
  <si>
    <t>CELL 67 Cannot be ON -pair in square</t>
  </si>
  <si>
    <t>CELL 68 Cannot be ON -pair in square</t>
  </si>
  <si>
    <t>CELL 69 Cannot be ON -pair in square</t>
  </si>
  <si>
    <t xml:space="preserve">EU----S-F  -S---AE--  ---R-S---  -E-----F-  --OEN----  </t>
  </si>
  <si>
    <t xml:space="preserve">-NSO-R---  -A-SP----  --U---P-S  -----U--A  </t>
  </si>
  <si>
    <t>`</t>
  </si>
  <si>
    <t/>
  </si>
  <si>
    <t>Cell 15=Singleton Candidate O</t>
  </si>
  <si>
    <t>Cell 46=Singleton Candidate P</t>
  </si>
  <si>
    <t>Cell 56=Singleton Candidate F</t>
  </si>
  <si>
    <t>Cell 35=Single E in row</t>
  </si>
  <si>
    <t>Cell 45=Single S in row</t>
  </si>
  <si>
    <t>Cell 58=Single S in row</t>
  </si>
  <si>
    <t>Cell 61=Single F in row</t>
  </si>
  <si>
    <t>Cell 91=Single S in row</t>
  </si>
  <si>
    <t>CELL 68 Cannot be UA -pair in row 6</t>
  </si>
  <si>
    <t>CELL 69 Cannot be UA -pair in row 6</t>
  </si>
  <si>
    <t>CELL 65 Cannot be EP -pair in row 6</t>
  </si>
  <si>
    <t>CELL 67 Cannot be EP -pair in row 6</t>
  </si>
  <si>
    <t>CELL 45 Cannot be UA -pair in square</t>
  </si>
  <si>
    <t>CELL 46 Cannot be UA -pair in square</t>
  </si>
  <si>
    <t>CELL 54 Cannot be UA -pair in square</t>
  </si>
  <si>
    <t>CELL 55 Cannot be UA -pair in square</t>
  </si>
  <si>
    <t>CELL 56 Cannot be UA -pair in square</t>
  </si>
  <si>
    <t>CELL 64 Cannot be UA -pair in square</t>
  </si>
  <si>
    <t>CELL 66 Cannot be UA -pair in square</t>
  </si>
  <si>
    <t>CELL 47 Cannot be EP -pair in square</t>
  </si>
  <si>
    <t>CELL 48 Cannot be EP -pair in square</t>
  </si>
  <si>
    <t>CELL 49 Cannot be EP -pair in square</t>
  </si>
  <si>
    <t>CELL 57 Cannot be EP -pair in square</t>
  </si>
  <si>
    <t>CELL 58 Cannot be EP -pair in square</t>
  </si>
  <si>
    <t>CELL 59 Cannot be EP -pair in square</t>
  </si>
  <si>
    <t>CELL 67 Cannot be EP -pair in square</t>
  </si>
  <si>
    <t xml:space="preserve">CELL 42 Cannot be UAR -triplet </t>
  </si>
  <si>
    <t xml:space="preserve">CELL 45 Cannot be UAR -triplet </t>
  </si>
  <si>
    <t xml:space="preserve">CELL 46 Cannot be UAR -triplet </t>
  </si>
  <si>
    <t xml:space="preserve">CELL 47 Cannot be UAR -triplet </t>
  </si>
  <si>
    <t xml:space="preserve">CELL 48 Cannot be UAR -triplet </t>
  </si>
  <si>
    <t xml:space="preserve">CELL 49 Cannot be UAR -triplet </t>
  </si>
  <si>
    <t>Cell 16=Singleton Candidate N</t>
  </si>
  <si>
    <t>CELL 41 Cannot be ON -pair in row 4</t>
  </si>
  <si>
    <t>CELL 43 Cannot be ON -pair in row 4</t>
  </si>
  <si>
    <t>CELL 44 Cannot be ON -pair in row 4</t>
  </si>
  <si>
    <t>CELL 74 Cannot be EO -pair in square</t>
  </si>
  <si>
    <t>CELL 75 Cannot be EO -pair in square</t>
  </si>
  <si>
    <t>CELL 84 Cannot be EO -pair in square</t>
  </si>
  <si>
    <t>CELL 85 Cannot be EO -pair in square</t>
  </si>
  <si>
    <t>CELL 94 Cannot be EO -pair in square</t>
  </si>
  <si>
    <t>CELL 95 Cannot be EO -pair in square</t>
  </si>
  <si>
    <t>CELL 96 Cannot be EO -pair in square</t>
  </si>
  <si>
    <t>Cell 14=Singleton Candidate P</t>
  </si>
  <si>
    <t>CELL 21 Cannot be UF -pair in row 2</t>
  </si>
  <si>
    <t>CELL 23 Cannot be UF -pair in row 2</t>
  </si>
  <si>
    <t>CELL 28 Cannot be UF -pair in row 2</t>
  </si>
  <si>
    <t>CELL 29 Cannot be UF -pair in row 2</t>
  </si>
  <si>
    <t>CELL 23 Cannot be AR -pair in column 3</t>
  </si>
  <si>
    <t>CELL 33 Cannot be AR -pair in column 3</t>
  </si>
  <si>
    <t>CELL 73 Cannot be AR -pair in column 3</t>
  </si>
  <si>
    <t>CELL 93 Cannot be AR -pair in column 3</t>
  </si>
  <si>
    <t>CELL 14 Cannot be UF -pair in square</t>
  </si>
  <si>
    <t>CELL 15 Cannot be UF -pair in square</t>
  </si>
  <si>
    <t>CELL 16 Cannot be UF -pair in square</t>
  </si>
  <si>
    <t>CELL 26 Cannot be UF -pair in square</t>
  </si>
  <si>
    <t>CELL 34 Cannot be UF -pair in square</t>
  </si>
  <si>
    <t>CELL 35 Cannot be UF -pair in square</t>
  </si>
  <si>
    <t>CELL 36 Cannot be UF -pair in square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</si>
</sst>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4"/>
      <name val="Courier New"/>
      <family val="3"/>
    </font>
    <font>
      <sz val="8"/>
      <name val="Arial"/>
      <family val="0"/>
    </font>
    <font>
      <b/>
      <sz val="12"/>
      <color indexed="8"/>
      <name val="Arial"/>
      <family val="0"/>
    </font>
    <font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M18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9" width="2.421875" style="4" customWidth="1"/>
    <col min="10" max="11" width="9.140625" style="4" customWidth="1"/>
    <col min="12" max="12" width="17.7109375" style="4" customWidth="1"/>
    <col min="13" max="13" width="16.7109375" style="4" customWidth="1"/>
    <col min="14" max="14" width="15.7109375" style="4" bestFit="1" customWidth="1"/>
    <col min="15" max="15" width="9.140625" style="4" customWidth="1"/>
    <col min="16" max="16" width="10.421875" style="4" customWidth="1"/>
    <col min="17" max="17" width="10.7109375" style="4" bestFit="1" customWidth="1"/>
    <col min="18" max="18" width="9.140625" style="4" customWidth="1"/>
    <col min="19" max="19" width="7.57421875" style="4" bestFit="1" customWidth="1"/>
    <col min="20" max="20" width="9.140625" style="4" bestFit="1" customWidth="1"/>
    <col min="21" max="21" width="12.28125" style="4" bestFit="1" customWidth="1"/>
    <col min="22" max="22" width="10.7109375" style="4" bestFit="1" customWidth="1"/>
    <col min="23" max="23" width="12.28125" style="4" bestFit="1" customWidth="1"/>
    <col min="24" max="24" width="9.140625" style="4" bestFit="1" customWidth="1"/>
    <col min="25" max="25" width="9.140625" style="4" customWidth="1"/>
    <col min="28" max="30" width="9.140625" style="4" customWidth="1"/>
    <col min="31" max="39" width="2.421875" style="4" customWidth="1"/>
    <col min="40" max="16384" width="9.140625" style="4" customWidth="1"/>
  </cols>
  <sheetData>
    <row r="1" spans="1:36" ht="19.5">
      <c r="A1" s="61" t="s">
        <v>359</v>
      </c>
      <c r="S1" s="63"/>
      <c r="Z1" t="s">
        <v>298</v>
      </c>
      <c r="AB1"/>
      <c r="AC1"/>
      <c r="AD1"/>
      <c r="AE1"/>
      <c r="AF1"/>
      <c r="AG1"/>
      <c r="AH1"/>
      <c r="AI1"/>
      <c r="AJ1"/>
    </row>
    <row r="2" spans="1:36" ht="19.5">
      <c r="A2" s="61" t="s">
        <v>360</v>
      </c>
      <c r="Z2" t="s">
        <v>299</v>
      </c>
      <c r="AB2"/>
      <c r="AC2"/>
      <c r="AD2"/>
      <c r="AE2"/>
      <c r="AF2"/>
      <c r="AG2"/>
      <c r="AH2"/>
      <c r="AI2"/>
      <c r="AJ2"/>
    </row>
    <row r="3" spans="1:36" ht="19.5">
      <c r="A3" s="61" t="s">
        <v>361</v>
      </c>
      <c r="Z3" t="s">
        <v>300</v>
      </c>
      <c r="AB3"/>
      <c r="AC3"/>
      <c r="AD3"/>
      <c r="AE3"/>
      <c r="AF3"/>
      <c r="AG3"/>
      <c r="AH3"/>
      <c r="AI3"/>
      <c r="AJ3"/>
    </row>
    <row r="4" spans="26:36" ht="20.25" thickBot="1">
      <c r="Z4" t="s">
        <v>301</v>
      </c>
      <c r="AB4"/>
      <c r="AC4"/>
      <c r="AD4"/>
      <c r="AE4"/>
      <c r="AF4"/>
      <c r="AG4"/>
      <c r="AH4"/>
      <c r="AI4"/>
      <c r="AJ4"/>
    </row>
    <row r="5" spans="1:36" ht="20.25" thickTop="1">
      <c r="A5" s="20" t="str">
        <f>IF(MID($A$1,COLUMN(),1)="-","",MID($A$1,COLUMN(),1))</f>
        <v>E</v>
      </c>
      <c r="B5" s="21" t="str">
        <f aca="true" t="shared" si="0" ref="B5:I5">IF(MID($A$1,COLUMN(),1)="-","",MID($A$1,COLUMN(),1))</f>
        <v>U</v>
      </c>
      <c r="C5" s="21">
        <f t="shared" si="0"/>
      </c>
      <c r="D5" s="22">
        <f t="shared" si="0"/>
      </c>
      <c r="E5" s="21">
        <f t="shared" si="0"/>
      </c>
      <c r="F5" s="23">
        <f t="shared" si="0"/>
      </c>
      <c r="G5" s="21" t="str">
        <f t="shared" si="0"/>
        <v>S</v>
      </c>
      <c r="H5" s="21">
        <f t="shared" si="0"/>
      </c>
      <c r="I5" s="24" t="str">
        <f t="shared" si="0"/>
        <v>F</v>
      </c>
      <c r="J5" s="4">
        <f>IF(MID($A$1,COLUMN(),1)="-","",MID(J1,COLUMN(),1))</f>
      </c>
      <c r="Z5" t="s">
        <v>302</v>
      </c>
      <c r="AB5"/>
      <c r="AC5"/>
      <c r="AD5"/>
      <c r="AE5"/>
      <c r="AF5"/>
      <c r="AG5"/>
      <c r="AH5"/>
      <c r="AI5"/>
      <c r="AJ5"/>
    </row>
    <row r="6" spans="1:36" ht="19.5">
      <c r="A6" s="25">
        <f>IF(MID($A$1,COLUMN()+11,1)="-","",MID($A$1,COLUMN()+11,1))</f>
      </c>
      <c r="B6" s="6" t="str">
        <f aca="true" t="shared" si="1" ref="B6:I6">IF(MID($A$1,COLUMN()+11,1)="-","",MID($A$1,COLUMN()+11,1))</f>
        <v>S</v>
      </c>
      <c r="C6" s="6">
        <f t="shared" si="1"/>
      </c>
      <c r="D6" s="5">
        <f t="shared" si="1"/>
      </c>
      <c r="E6" s="6">
        <f t="shared" si="1"/>
      </c>
      <c r="F6" s="7" t="str">
        <f t="shared" si="1"/>
        <v>A</v>
      </c>
      <c r="G6" s="6" t="str">
        <f t="shared" si="1"/>
        <v>E</v>
      </c>
      <c r="H6" s="6">
        <f t="shared" si="1"/>
      </c>
      <c r="I6" s="26">
        <f t="shared" si="1"/>
      </c>
      <c r="P6"/>
      <c r="Q6"/>
      <c r="R6"/>
      <c r="S6"/>
      <c r="T6"/>
      <c r="U6"/>
      <c r="V6"/>
      <c r="W6"/>
      <c r="X6"/>
      <c r="Z6" t="s">
        <v>303</v>
      </c>
      <c r="AB6"/>
      <c r="AC6"/>
      <c r="AD6"/>
      <c r="AE6"/>
      <c r="AF6"/>
      <c r="AG6"/>
      <c r="AH6"/>
      <c r="AI6"/>
      <c r="AJ6"/>
    </row>
    <row r="7" spans="1:36" ht="20.25" thickBot="1">
      <c r="A7" s="25">
        <f>IF(MID($A$1,COLUMN()+22,1)="-","",MID($A$1,COLUMN()+22,1))</f>
      </c>
      <c r="B7" s="6">
        <f aca="true" t="shared" si="2" ref="B7:I7">IF(MID($A$1,COLUMN()+22,1)="-","",MID($A$1,COLUMN()+22,1))</f>
      </c>
      <c r="C7" s="6">
        <f t="shared" si="2"/>
      </c>
      <c r="D7" s="5" t="str">
        <f t="shared" si="2"/>
        <v>R</v>
      </c>
      <c r="E7" s="6">
        <f t="shared" si="2"/>
      </c>
      <c r="F7" s="7" t="str">
        <f t="shared" si="2"/>
        <v>S</v>
      </c>
      <c r="G7" s="6">
        <f t="shared" si="2"/>
      </c>
      <c r="H7" s="6">
        <f t="shared" si="2"/>
      </c>
      <c r="I7" s="26">
        <f t="shared" si="2"/>
      </c>
      <c r="P7"/>
      <c r="Q7"/>
      <c r="R7"/>
      <c r="S7"/>
      <c r="T7"/>
      <c r="U7"/>
      <c r="V7"/>
      <c r="W7"/>
      <c r="X7"/>
      <c r="Z7" t="s">
        <v>304</v>
      </c>
      <c r="AB7"/>
      <c r="AC7"/>
      <c r="AD7"/>
      <c r="AE7"/>
      <c r="AF7"/>
      <c r="AG7"/>
      <c r="AH7"/>
      <c r="AI7"/>
      <c r="AJ7"/>
    </row>
    <row r="8" spans="1:36" ht="20.25" thickTop="1">
      <c r="A8" s="32">
        <f>IF(MID($A$1,COLUMN()+33,1)="-","",MID($A$1,COLUMN()+33,1))</f>
      </c>
      <c r="B8" s="2" t="str">
        <f aca="true" t="shared" si="3" ref="B8:I8">IF(MID($A$1,COLUMN()+33,1)="-","",MID($A$1,COLUMN()+33,1))</f>
        <v>E</v>
      </c>
      <c r="C8" s="2">
        <f t="shared" si="3"/>
      </c>
      <c r="D8" s="1">
        <f t="shared" si="3"/>
      </c>
      <c r="E8" s="2">
        <f t="shared" si="3"/>
      </c>
      <c r="F8" s="3">
        <f t="shared" si="3"/>
      </c>
      <c r="G8" s="2">
        <f t="shared" si="3"/>
      </c>
      <c r="H8" s="2" t="str">
        <f t="shared" si="3"/>
        <v>F</v>
      </c>
      <c r="I8" s="33">
        <f t="shared" si="3"/>
      </c>
      <c r="P8"/>
      <c r="Q8"/>
      <c r="R8"/>
      <c r="S8"/>
      <c r="T8"/>
      <c r="U8"/>
      <c r="V8"/>
      <c r="W8"/>
      <c r="X8"/>
      <c r="Z8" t="s">
        <v>305</v>
      </c>
      <c r="AB8"/>
      <c r="AC8"/>
      <c r="AD8"/>
      <c r="AE8"/>
      <c r="AF8"/>
      <c r="AG8"/>
      <c r="AH8"/>
      <c r="AI8"/>
      <c r="AJ8"/>
    </row>
    <row r="9" spans="1:36" ht="19.5">
      <c r="A9" s="25">
        <f aca="true" t="shared" si="4" ref="A9:I9">IF(MID($A$1,COLUMN()+44,1)="-","",MID($A$1,COLUMN()+44,1))</f>
      </c>
      <c r="B9" s="6">
        <f t="shared" si="4"/>
      </c>
      <c r="C9" s="6" t="str">
        <f t="shared" si="4"/>
        <v>O</v>
      </c>
      <c r="D9" s="5" t="str">
        <f t="shared" si="4"/>
        <v>E</v>
      </c>
      <c r="E9" s="6" t="str">
        <f t="shared" si="4"/>
        <v>N</v>
      </c>
      <c r="F9" s="7">
        <f t="shared" si="4"/>
      </c>
      <c r="G9" s="6">
        <f t="shared" si="4"/>
      </c>
      <c r="H9" s="6">
        <f t="shared" si="4"/>
      </c>
      <c r="I9" s="26">
        <f t="shared" si="4"/>
      </c>
      <c r="P9"/>
      <c r="Q9"/>
      <c r="R9"/>
      <c r="S9"/>
      <c r="T9"/>
      <c r="U9"/>
      <c r="V9"/>
      <c r="W9"/>
      <c r="X9"/>
      <c r="Z9" t="s">
        <v>306</v>
      </c>
      <c r="AB9"/>
      <c r="AC9"/>
      <c r="AD9"/>
      <c r="AE9"/>
      <c r="AF9"/>
      <c r="AG9"/>
      <c r="AH9"/>
      <c r="AI9"/>
      <c r="AJ9"/>
    </row>
    <row r="10" spans="1:36" ht="20.25" thickBot="1">
      <c r="A10" s="34">
        <f aca="true" t="shared" si="5" ref="A10:I10">IF(MID($A$2,COLUMN(),1)="-","",MID($A$2,COLUMN(),1))</f>
      </c>
      <c r="B10" s="9" t="str">
        <f t="shared" si="5"/>
        <v>N</v>
      </c>
      <c r="C10" s="9" t="str">
        <f t="shared" si="5"/>
        <v>S</v>
      </c>
      <c r="D10" s="8" t="str">
        <f t="shared" si="5"/>
        <v>O</v>
      </c>
      <c r="E10" s="9">
        <f t="shared" si="5"/>
      </c>
      <c r="F10" s="10" t="str">
        <f t="shared" si="5"/>
        <v>R</v>
      </c>
      <c r="G10" s="9">
        <f t="shared" si="5"/>
      </c>
      <c r="H10" s="9">
        <f t="shared" si="5"/>
      </c>
      <c r="I10" s="35">
        <f t="shared" si="5"/>
      </c>
      <c r="P10"/>
      <c r="Q10"/>
      <c r="R10"/>
      <c r="S10"/>
      <c r="T10"/>
      <c r="U10"/>
      <c r="V10"/>
      <c r="W10"/>
      <c r="X10"/>
      <c r="Z10" t="s">
        <v>307</v>
      </c>
      <c r="AB10"/>
      <c r="AC10"/>
      <c r="AD10"/>
      <c r="AE10"/>
      <c r="AF10"/>
      <c r="AG10"/>
      <c r="AH10"/>
      <c r="AI10"/>
      <c r="AJ10"/>
    </row>
    <row r="11" spans="1:36" ht="20.25" thickTop="1">
      <c r="A11" s="25">
        <f aca="true" t="shared" si="6" ref="A11:I11">IF(MID($A$2,COLUMN()+11,1)="-","",MID($A$2,COLUMN()+11,1))</f>
      </c>
      <c r="B11" s="6" t="str">
        <f t="shared" si="6"/>
        <v>A</v>
      </c>
      <c r="C11" s="6">
        <f t="shared" si="6"/>
      </c>
      <c r="D11" s="5" t="str">
        <f t="shared" si="6"/>
        <v>S</v>
      </c>
      <c r="E11" s="6" t="str">
        <f t="shared" si="6"/>
        <v>P</v>
      </c>
      <c r="F11" s="7">
        <f t="shared" si="6"/>
      </c>
      <c r="G11" s="6">
        <f t="shared" si="6"/>
      </c>
      <c r="H11" s="6">
        <f t="shared" si="6"/>
      </c>
      <c r="I11" s="26">
        <f t="shared" si="6"/>
      </c>
      <c r="P11"/>
      <c r="Q11"/>
      <c r="R11"/>
      <c r="S11"/>
      <c r="T11"/>
      <c r="U11"/>
      <c r="V11"/>
      <c r="W11"/>
      <c r="X11"/>
      <c r="Z11" t="s">
        <v>308</v>
      </c>
      <c r="AB11"/>
      <c r="AC11"/>
      <c r="AD11"/>
      <c r="AE11"/>
      <c r="AF11"/>
      <c r="AG11"/>
      <c r="AH11"/>
      <c r="AI11"/>
      <c r="AJ11"/>
    </row>
    <row r="12" spans="1:36" ht="19.5">
      <c r="A12" s="25">
        <f aca="true" t="shared" si="7" ref="A12:I12">IF(MID($A$2,COLUMN()+22,1)="-","",MID($A$2,COLUMN()+22,1))</f>
      </c>
      <c r="B12" s="6">
        <f t="shared" si="7"/>
      </c>
      <c r="C12" s="6" t="str">
        <f t="shared" si="7"/>
        <v>U</v>
      </c>
      <c r="D12" s="5">
        <f t="shared" si="7"/>
      </c>
      <c r="E12" s="6">
        <f t="shared" si="7"/>
      </c>
      <c r="F12" s="7">
        <f t="shared" si="7"/>
      </c>
      <c r="G12" s="6" t="str">
        <f t="shared" si="7"/>
        <v>P</v>
      </c>
      <c r="H12" s="6">
        <f t="shared" si="7"/>
      </c>
      <c r="I12" s="26" t="str">
        <f t="shared" si="7"/>
        <v>S</v>
      </c>
      <c r="P12"/>
      <c r="Q12"/>
      <c r="R12"/>
      <c r="S12"/>
      <c r="T12"/>
      <c r="U12"/>
      <c r="V12"/>
      <c r="W12"/>
      <c r="X12"/>
      <c r="Z12" t="s">
        <v>309</v>
      </c>
      <c r="AB12"/>
      <c r="AC12"/>
      <c r="AD12"/>
      <c r="AE12"/>
      <c r="AF12"/>
      <c r="AG12"/>
      <c r="AH12"/>
      <c r="AI12"/>
      <c r="AJ12"/>
    </row>
    <row r="13" spans="1:36" ht="20.25" thickBot="1">
      <c r="A13" s="27">
        <f aca="true" t="shared" si="8" ref="A13:I13">IF(MID($A$2,COLUMN()+33,1)="-","",MID($A$2,COLUMN()+33,1))</f>
      </c>
      <c r="B13" s="28">
        <f t="shared" si="8"/>
      </c>
      <c r="C13" s="28">
        <f t="shared" si="8"/>
      </c>
      <c r="D13" s="29">
        <f t="shared" si="8"/>
      </c>
      <c r="E13" s="28">
        <f t="shared" si="8"/>
      </c>
      <c r="F13" s="30" t="str">
        <f t="shared" si="8"/>
        <v>U</v>
      </c>
      <c r="G13" s="28">
        <f t="shared" si="8"/>
      </c>
      <c r="H13" s="28">
        <f t="shared" si="8"/>
      </c>
      <c r="I13" s="31" t="str">
        <f t="shared" si="8"/>
        <v>A</v>
      </c>
      <c r="P13"/>
      <c r="Q13"/>
      <c r="R13"/>
      <c r="S13"/>
      <c r="T13"/>
      <c r="U13"/>
      <c r="V13"/>
      <c r="W13"/>
      <c r="X13"/>
      <c r="Z13" t="s">
        <v>310</v>
      </c>
      <c r="AB13"/>
      <c r="AC13"/>
      <c r="AD13"/>
      <c r="AE13"/>
      <c r="AF13"/>
      <c r="AG13"/>
      <c r="AH13"/>
      <c r="AI13"/>
      <c r="AJ13"/>
    </row>
    <row r="14" spans="16:36" ht="20.25" thickTop="1">
      <c r="P14"/>
      <c r="Q14"/>
      <c r="R14"/>
      <c r="S14"/>
      <c r="T14"/>
      <c r="U14"/>
      <c r="V14"/>
      <c r="W14"/>
      <c r="X14"/>
      <c r="Z14" t="s">
        <v>311</v>
      </c>
      <c r="AB14"/>
      <c r="AC14"/>
      <c r="AD14"/>
      <c r="AE14"/>
      <c r="AF14"/>
      <c r="AG14"/>
      <c r="AH14"/>
      <c r="AI14"/>
      <c r="AJ14"/>
    </row>
    <row r="15" spans="12:36" ht="20.25" thickBot="1">
      <c r="L15" s="4" t="s">
        <v>37</v>
      </c>
      <c r="M15" s="4" t="s">
        <v>45</v>
      </c>
      <c r="N15" s="4" t="s">
        <v>46</v>
      </c>
      <c r="P15" s="4" t="s">
        <v>47</v>
      </c>
      <c r="Z15" t="s">
        <v>315</v>
      </c>
      <c r="AB15"/>
      <c r="AC15"/>
      <c r="AD15"/>
      <c r="AE15"/>
      <c r="AF15"/>
      <c r="AG15"/>
      <c r="AH15"/>
      <c r="AI15"/>
      <c r="AJ15"/>
    </row>
    <row r="16" spans="1:39" ht="20.25" thickTop="1">
      <c r="A16" s="36" t="s">
        <v>5</v>
      </c>
      <c r="B16" s="37" t="s">
        <v>17</v>
      </c>
      <c r="C16" s="37" t="s">
        <v>362</v>
      </c>
      <c r="D16" s="38" t="s">
        <v>362</v>
      </c>
      <c r="E16" s="37" t="s">
        <v>362</v>
      </c>
      <c r="F16" s="39" t="s">
        <v>362</v>
      </c>
      <c r="G16" s="37" t="s">
        <v>15</v>
      </c>
      <c r="H16" s="37" t="s">
        <v>362</v>
      </c>
      <c r="I16" s="40" t="s">
        <v>292</v>
      </c>
      <c r="K16" s="4">
        <v>1</v>
      </c>
      <c r="L16" s="4" t="str">
        <f>mmconc(A16:C18,TRUE)</f>
        <v>EU--S----</v>
      </c>
      <c r="M16" s="4" t="str">
        <f aca="true" t="shared" si="9" ref="M16:M24">mmconc(A16:I16,TRUE)</f>
        <v>EU----S-F</v>
      </c>
      <c r="N16" s="4" t="str">
        <f>mmconc(A16:A24,TRUE)</f>
        <v>E--------</v>
      </c>
      <c r="P16" s="20">
        <f>IF(A16="",map(chSet,P28&amp;sq91&amp;srow91&amp;scol91,""),"")</f>
      </c>
      <c r="Q16" s="21">
        <f>IF(B16="",map(chSet,Q28&amp;sq91&amp;srow91&amp;scol92,""),"")</f>
      </c>
      <c r="R16" s="21" t="str">
        <f>IF(C16="",map(chSet,R28&amp;sq91&amp;srow91&amp;scol93,""),"")</f>
        <v>ARNP</v>
      </c>
      <c r="S16" s="22" t="str">
        <f>IF(D16="",map(chSet,S28&amp;sq92&amp;srow91&amp;scol94,""),"")</f>
        <v>NP</v>
      </c>
      <c r="T16" s="21" t="str">
        <f>IF(E16="",map(chSet,T28&amp;sq92&amp;srow91&amp;scol95,""),"")</f>
        <v>O</v>
      </c>
      <c r="U16" s="23" t="str">
        <f>IF(F16="",map(chSet,U28&amp;sq92&amp;srow91&amp;scol96,""),"")</f>
        <v>ONP</v>
      </c>
      <c r="V16" s="21">
        <f>IF(G16="",map(chSet,V28&amp;sq93&amp;srow91&amp;scol97,""),"")</f>
      </c>
      <c r="W16" s="21" t="str">
        <f>IF(H16="",map(chSet,W28&amp;sq93&amp;srow91&amp;scol98,""),"")</f>
        <v>ARONP</v>
      </c>
      <c r="X16" s="21">
        <f>IF(I16="",map(chSet,X28&amp;sq93&amp;srow91&amp;scol99,""),"")</f>
      </c>
      <c r="Y16" s="25"/>
      <c r="Z16" t="s">
        <v>316</v>
      </c>
      <c r="AB16"/>
      <c r="AC16"/>
      <c r="AD16"/>
      <c r="AE16" s="36">
        <v>2</v>
      </c>
      <c r="AF16" s="37" t="s">
        <v>285</v>
      </c>
      <c r="AG16" s="37">
        <v>3</v>
      </c>
      <c r="AH16" s="38" t="s">
        <v>284</v>
      </c>
      <c r="AI16" s="37" t="s">
        <v>291</v>
      </c>
      <c r="AJ16" s="39" t="s">
        <v>290</v>
      </c>
      <c r="AK16" s="37" t="s">
        <v>289</v>
      </c>
      <c r="AL16" s="37" t="s">
        <v>288</v>
      </c>
      <c r="AM16" s="40" t="s">
        <v>283</v>
      </c>
    </row>
    <row r="17" spans="1:39" ht="19.5">
      <c r="A17" s="41" t="s">
        <v>362</v>
      </c>
      <c r="B17" s="42" t="s">
        <v>15</v>
      </c>
      <c r="C17" s="42" t="s">
        <v>362</v>
      </c>
      <c r="D17" s="43" t="s">
        <v>362</v>
      </c>
      <c r="E17" s="42" t="s">
        <v>362</v>
      </c>
      <c r="F17" s="44" t="s">
        <v>10</v>
      </c>
      <c r="G17" s="42" t="s">
        <v>5</v>
      </c>
      <c r="H17" s="42" t="s">
        <v>362</v>
      </c>
      <c r="I17" s="45" t="s">
        <v>362</v>
      </c>
      <c r="K17" s="4">
        <v>2</v>
      </c>
      <c r="L17" s="4" t="str">
        <f>mmconc(D16:F18,TRUE)</f>
        <v>-----AR-S</v>
      </c>
      <c r="M17" s="4" t="str">
        <f t="shared" si="9"/>
        <v>-S---AE--</v>
      </c>
      <c r="N17" s="4" t="str">
        <f>mmconc(B16:B24,TRUE)</f>
        <v>US-E-NA--</v>
      </c>
      <c r="P17" s="25" t="str">
        <f>IF(A17="",map(chSet,P29&amp;sq91&amp;srow92&amp;scol91,""),"")</f>
        <v>FRONP</v>
      </c>
      <c r="Q17" s="6">
        <f>IF(B17="",map(chSet,Q29&amp;sq91&amp;srow92&amp;scol92,""),"")</f>
      </c>
      <c r="R17" s="6" t="str">
        <f>IF(C17="",map(chSet,R29&amp;sq91&amp;srow92&amp;scol93,""),"")</f>
        <v>FRNP</v>
      </c>
      <c r="S17" s="5" t="str">
        <f>IF(D17="",map(chSet,S29&amp;sq92&amp;srow92&amp;scol94,""),"")</f>
        <v>UFNP</v>
      </c>
      <c r="T17" s="6" t="str">
        <f>IF(E17="",map(chSet,T29&amp;sq92&amp;srow92&amp;scol95,""),"")</f>
        <v>UFO</v>
      </c>
      <c r="U17" s="7">
        <f>IF(F17="",map(chSet,U29&amp;sq92&amp;srow92&amp;scol96,""),"")</f>
      </c>
      <c r="V17" s="6">
        <f>IF(G17="",map(chSet,V29&amp;sq93&amp;srow92&amp;scol97,""),"")</f>
      </c>
      <c r="W17" s="6" t="str">
        <f>IF(H17="",map(chSet,W29&amp;sq93&amp;srow92&amp;scol98,""),"")</f>
        <v>URONP</v>
      </c>
      <c r="X17" s="6" t="str">
        <f>IF(I17="",map(chSet,X29&amp;sq93&amp;srow92&amp;scol99,""),"")</f>
        <v>URONP</v>
      </c>
      <c r="Y17" s="25"/>
      <c r="Z17" t="s">
        <v>317</v>
      </c>
      <c r="AB17"/>
      <c r="AC17"/>
      <c r="AD17"/>
      <c r="AE17" s="41">
        <v>4</v>
      </c>
      <c r="AF17" s="42">
        <v>1</v>
      </c>
      <c r="AG17" s="42" t="s">
        <v>288</v>
      </c>
      <c r="AH17" s="43" t="s">
        <v>287</v>
      </c>
      <c r="AI17" s="42">
        <v>9</v>
      </c>
      <c r="AJ17" s="44" t="s">
        <v>285</v>
      </c>
      <c r="AK17" s="42" t="s">
        <v>286</v>
      </c>
      <c r="AL17" s="42">
        <v>6</v>
      </c>
      <c r="AM17" s="45" t="s">
        <v>284</v>
      </c>
    </row>
    <row r="18" spans="1:39" ht="20.25" thickBot="1">
      <c r="A18" s="41" t="s">
        <v>362</v>
      </c>
      <c r="B18" s="42" t="s">
        <v>362</v>
      </c>
      <c r="C18" s="42" t="s">
        <v>362</v>
      </c>
      <c r="D18" s="43" t="s">
        <v>16</v>
      </c>
      <c r="E18" s="42" t="s">
        <v>362</v>
      </c>
      <c r="F18" s="44" t="s">
        <v>15</v>
      </c>
      <c r="G18" s="42" t="s">
        <v>362</v>
      </c>
      <c r="H18" s="42" t="s">
        <v>362</v>
      </c>
      <c r="I18" s="45" t="s">
        <v>362</v>
      </c>
      <c r="K18" s="4">
        <v>3</v>
      </c>
      <c r="L18" s="4" t="str">
        <f>mmconc(G16:I18,TRUE)</f>
        <v>S-FE-----</v>
      </c>
      <c r="M18" s="4" t="str">
        <f t="shared" si="9"/>
        <v>---R-S---</v>
      </c>
      <c r="N18" s="4" t="str">
        <f>mmconc(C16:C24,TRUE)</f>
        <v>----OS-U-</v>
      </c>
      <c r="P18" s="25" t="str">
        <f>IF(A18="",map(chSet,P30&amp;sq91&amp;srow93&amp;scol91,""),"")</f>
        <v>FAONP</v>
      </c>
      <c r="Q18" s="6" t="str">
        <f>IF(B18="",map(chSet,Q30&amp;sq91&amp;srow93&amp;scol92,""),"")</f>
        <v>FOP</v>
      </c>
      <c r="R18" s="6" t="str">
        <f>IF(C18="",map(chSet,R30&amp;sq91&amp;srow93&amp;scol93,""),"")</f>
        <v>FANP</v>
      </c>
      <c r="S18" s="5">
        <f>IF(D18="",map(chSet,S30&amp;sq92&amp;srow93&amp;scol94,""),"")</f>
      </c>
      <c r="T18" s="6" t="str">
        <f>IF(E18="",map(chSet,T30&amp;sq92&amp;srow93&amp;scol95,""),"")</f>
        <v>EUFO</v>
      </c>
      <c r="U18" s="7">
        <f>IF(F18="",map(chSet,U30&amp;sq92&amp;srow93&amp;scol96,""),"")</f>
      </c>
      <c r="V18" s="6" t="str">
        <f>IF(G18="",map(chSet,V30&amp;sq93&amp;srow93&amp;scol97,""),"")</f>
        <v>UAON</v>
      </c>
      <c r="W18" s="6" t="str">
        <f>IF(H18="",map(chSet,W30&amp;sq93&amp;srow93&amp;scol98,""),"")</f>
        <v>UAONP</v>
      </c>
      <c r="X18" s="6" t="str">
        <f>IF(I18="",map(chSet,X30&amp;sq93&amp;srow93&amp;scol99,""),"")</f>
        <v>UONP</v>
      </c>
      <c r="Y18" s="25"/>
      <c r="Z18" t="s">
        <v>318</v>
      </c>
      <c r="AB18"/>
      <c r="AC18"/>
      <c r="AD18"/>
      <c r="AE18" s="41" t="s">
        <v>284</v>
      </c>
      <c r="AF18" s="42">
        <v>6</v>
      </c>
      <c r="AG18" s="42" t="s">
        <v>289</v>
      </c>
      <c r="AH18" s="43">
        <v>4</v>
      </c>
      <c r="AI18" s="42" t="s">
        <v>288</v>
      </c>
      <c r="AJ18" s="44">
        <v>3</v>
      </c>
      <c r="AK18" s="42" t="s">
        <v>285</v>
      </c>
      <c r="AL18" s="42" t="s">
        <v>287</v>
      </c>
      <c r="AM18" s="45" t="s">
        <v>291</v>
      </c>
    </row>
    <row r="19" spans="1:39" ht="20.25" thickTop="1">
      <c r="A19" s="46" t="s">
        <v>362</v>
      </c>
      <c r="B19" s="47" t="s">
        <v>5</v>
      </c>
      <c r="C19" s="47" t="s">
        <v>362</v>
      </c>
      <c r="D19" s="48" t="s">
        <v>362</v>
      </c>
      <c r="E19" s="47" t="s">
        <v>362</v>
      </c>
      <c r="F19" s="49" t="s">
        <v>362</v>
      </c>
      <c r="G19" s="47" t="s">
        <v>362</v>
      </c>
      <c r="H19" s="47" t="s">
        <v>292</v>
      </c>
      <c r="I19" s="50" t="s">
        <v>362</v>
      </c>
      <c r="K19" s="4">
        <v>4</v>
      </c>
      <c r="L19" s="4" t="str">
        <f>mmconc(A19:C21,TRUE)</f>
        <v>-E---O-NS</v>
      </c>
      <c r="M19" s="4" t="str">
        <f t="shared" si="9"/>
        <v>-E-----F-</v>
      </c>
      <c r="N19" s="4" t="str">
        <f>mmconc(D16:D24,TRUE)</f>
        <v>--R-EOS--</v>
      </c>
      <c r="P19" s="32" t="str">
        <f>IF(A19="",map(chSet,P31&amp;sq94&amp;srow94&amp;scol91,""),"")</f>
        <v>UARP</v>
      </c>
      <c r="Q19" s="2">
        <f>IF(B19="",map(chSet,Q31&amp;sq94&amp;srow94&amp;scol92,""),"")</f>
      </c>
      <c r="R19" s="2" t="str">
        <f>IF(C19="",map(chSet,R31&amp;sq94&amp;srow94&amp;scol93,""),"")</f>
        <v>ARP</v>
      </c>
      <c r="S19" s="1" t="str">
        <f>IF(D19="",map(chSet,S31&amp;sq95&amp;srow94&amp;scol94,""),"")</f>
        <v>UAP</v>
      </c>
      <c r="T19" s="2" t="str">
        <f>IF(E19="",map(chSet,T31&amp;sq95&amp;srow94&amp;scol95,""),"")</f>
        <v>USA</v>
      </c>
      <c r="U19" s="3" t="str">
        <f>IF(F19="",map(chSet,U31&amp;sq95&amp;srow94&amp;scol96,""),"")</f>
        <v>P</v>
      </c>
      <c r="V19" s="2" t="str">
        <f>IF(G19="",map(chSet,V31&amp;sq96&amp;srow94&amp;scol97,""),"")</f>
        <v>UARON</v>
      </c>
      <c r="W19" s="2">
        <f>IF(H19="",map(chSet,W31&amp;sq96&amp;srow94&amp;scol98,""),"")</f>
      </c>
      <c r="X19" s="2" t="str">
        <f>IF(I19="",map(chSet,X31&amp;sq96&amp;srow94&amp;scol99,""),"")</f>
        <v>URONP</v>
      </c>
      <c r="Y19" s="25"/>
      <c r="Z19" t="s">
        <v>319</v>
      </c>
      <c r="AB19"/>
      <c r="AC19"/>
      <c r="AD19"/>
      <c r="AE19" s="46" t="s">
        <v>286</v>
      </c>
      <c r="AF19" s="47">
        <v>9</v>
      </c>
      <c r="AG19" s="47" t="s">
        <v>287</v>
      </c>
      <c r="AH19" s="48">
        <v>1</v>
      </c>
      <c r="AI19" s="47" t="s">
        <v>284</v>
      </c>
      <c r="AJ19" s="49" t="s">
        <v>288</v>
      </c>
      <c r="AK19" s="47" t="s">
        <v>283</v>
      </c>
      <c r="AL19" s="47" t="s">
        <v>285</v>
      </c>
      <c r="AM19" s="50" t="s">
        <v>290</v>
      </c>
    </row>
    <row r="20" spans="1:39" ht="19.5">
      <c r="A20" s="41" t="s">
        <v>362</v>
      </c>
      <c r="B20" s="42" t="s">
        <v>362</v>
      </c>
      <c r="C20" s="42" t="s">
        <v>6</v>
      </c>
      <c r="D20" s="43" t="s">
        <v>5</v>
      </c>
      <c r="E20" s="42" t="s">
        <v>12</v>
      </c>
      <c r="F20" s="44" t="s">
        <v>362</v>
      </c>
      <c r="G20" s="42" t="s">
        <v>362</v>
      </c>
      <c r="H20" s="42" t="s">
        <v>362</v>
      </c>
      <c r="I20" s="45" t="s">
        <v>362</v>
      </c>
      <c r="K20" s="4">
        <v>5</v>
      </c>
      <c r="L20" s="4" t="str">
        <f>mmconc(D19:F21,TRUE)</f>
        <v>---EN-O-R</v>
      </c>
      <c r="M20" s="4" t="str">
        <f t="shared" si="9"/>
        <v>--OEN----</v>
      </c>
      <c r="N20" s="4" t="str">
        <f>mmconc(E16:E24,TRUE)</f>
        <v>----N-P--</v>
      </c>
      <c r="P20" s="25" t="str">
        <f>IF(A20="",map(chSet,P32&amp;sq94&amp;srow95&amp;scol91,""),"")</f>
        <v>UFARP</v>
      </c>
      <c r="Q20" s="6" t="str">
        <f>IF(B20="",map(chSet,Q32&amp;sq94&amp;srow95&amp;scol92,""),"")</f>
        <v>FRP</v>
      </c>
      <c r="R20" s="6">
        <f>IF(C20="",map(chSet,R32&amp;sq94&amp;srow95&amp;scol93,""),"")</f>
      </c>
      <c r="S20" s="5">
        <f>IF(D20="",map(chSet,S32&amp;sq95&amp;srow95&amp;scol94,""),"")</f>
      </c>
      <c r="T20" s="6">
        <f>IF(E20="",map(chSet,T32&amp;sq95&amp;srow95&amp;scol95,""),"")</f>
      </c>
      <c r="U20" s="7" t="str">
        <f>IF(F20="",map(chSet,U32&amp;sq95&amp;srow95&amp;scol96,""),"")</f>
        <v>FP</v>
      </c>
      <c r="V20" s="6" t="str">
        <f>IF(G20="",map(chSet,V32&amp;sq96&amp;srow95&amp;scol97,""),"")</f>
        <v>UAR</v>
      </c>
      <c r="W20" s="6" t="str">
        <f>IF(H20="",map(chSet,W32&amp;sq96&amp;srow95&amp;scol98,""),"")</f>
        <v>USARP</v>
      </c>
      <c r="X20" s="6" t="str">
        <f>IF(I20="",map(chSet,X32&amp;sq96&amp;srow95&amp;scol99,""),"")</f>
        <v>URP</v>
      </c>
      <c r="Y20" s="25"/>
      <c r="Z20" t="s">
        <v>320</v>
      </c>
      <c r="AB20"/>
      <c r="AC20"/>
      <c r="AD20"/>
      <c r="AE20" s="41">
        <v>6</v>
      </c>
      <c r="AF20" s="42">
        <v>5</v>
      </c>
      <c r="AG20" s="42" t="s">
        <v>291</v>
      </c>
      <c r="AH20" s="43" t="s">
        <v>289</v>
      </c>
      <c r="AI20" s="42" t="s">
        <v>285</v>
      </c>
      <c r="AJ20" s="44" t="s">
        <v>283</v>
      </c>
      <c r="AK20" s="42" t="s">
        <v>287</v>
      </c>
      <c r="AL20" s="42">
        <v>3</v>
      </c>
      <c r="AM20" s="45">
        <v>7</v>
      </c>
    </row>
    <row r="21" spans="1:39" ht="20.25" thickBot="1">
      <c r="A21" s="51" t="s">
        <v>362</v>
      </c>
      <c r="B21" s="52" t="s">
        <v>12</v>
      </c>
      <c r="C21" s="52" t="s">
        <v>15</v>
      </c>
      <c r="D21" s="53" t="s">
        <v>6</v>
      </c>
      <c r="E21" s="52" t="s">
        <v>362</v>
      </c>
      <c r="F21" s="54" t="s">
        <v>16</v>
      </c>
      <c r="G21" s="52" t="s">
        <v>362</v>
      </c>
      <c r="H21" s="52" t="s">
        <v>362</v>
      </c>
      <c r="I21" s="55" t="s">
        <v>362</v>
      </c>
      <c r="K21" s="4">
        <v>6</v>
      </c>
      <c r="L21" s="4" t="str">
        <f>mmconc(G19:I21,TRUE)</f>
        <v>-F-------</v>
      </c>
      <c r="M21" s="4" t="str">
        <f t="shared" si="9"/>
        <v>-NSO-R---</v>
      </c>
      <c r="N21" s="4" t="str">
        <f>mmconc(F16:F24,TRUE)</f>
        <v>-AS--R--U</v>
      </c>
      <c r="P21" s="34" t="str">
        <f>IF(A21="",map(chSet,P33&amp;sq94&amp;srow96&amp;scol91,""),"")</f>
        <v>UFAP</v>
      </c>
      <c r="Q21" s="9">
        <f>IF(B21="",map(chSet,Q33&amp;sq94&amp;srow96&amp;scol92,""),"")</f>
      </c>
      <c r="R21" s="9">
        <f>IF(C21="",map(chSet,R33&amp;sq94&amp;srow96&amp;scol93,""),"")</f>
      </c>
      <c r="S21" s="8">
        <f>IF(D21="",map(chSet,S33&amp;sq95&amp;srow96&amp;scol94,""),"")</f>
      </c>
      <c r="T21" s="9" t="str">
        <f>IF(E21="",map(chSet,T33&amp;sq95&amp;srow96&amp;scol95,""),"")</f>
        <v>UFA</v>
      </c>
      <c r="U21" s="9">
        <f>IF(F21="",map(chSet,U33&amp;sq95&amp;srow96&amp;scol96,""),"")</f>
      </c>
      <c r="V21" s="8" t="str">
        <f>IF(G21="",map(chSet,V33&amp;sq96&amp;srow96&amp;scol97,""),"")</f>
        <v>UA</v>
      </c>
      <c r="W21" s="9" t="str">
        <f>IF(H21="",map(chSet,W33&amp;sq96&amp;srow96&amp;scol98,""),"")</f>
        <v>EUAP</v>
      </c>
      <c r="X21" s="9" t="str">
        <f>IF(I21="",map(chSet,X33&amp;sq96&amp;srow96&amp;scol99,""),"")</f>
        <v>EUP</v>
      </c>
      <c r="Y21" s="25"/>
      <c r="Z21" t="s">
        <v>312</v>
      </c>
      <c r="AB21"/>
      <c r="AC21"/>
      <c r="AD21"/>
      <c r="AE21" s="51" t="s">
        <v>288</v>
      </c>
      <c r="AF21" s="52" t="s">
        <v>283</v>
      </c>
      <c r="AG21" s="52" t="s">
        <v>285</v>
      </c>
      <c r="AH21" s="53" t="s">
        <v>290</v>
      </c>
      <c r="AI21" s="52" t="s">
        <v>286</v>
      </c>
      <c r="AJ21" s="54">
        <v>2</v>
      </c>
      <c r="AK21" s="52" t="s">
        <v>284</v>
      </c>
      <c r="AL21" s="52">
        <v>1</v>
      </c>
      <c r="AM21" s="55" t="s">
        <v>289</v>
      </c>
    </row>
    <row r="22" spans="1:39" ht="20.25" thickTop="1">
      <c r="A22" s="41" t="s">
        <v>362</v>
      </c>
      <c r="B22" s="42" t="s">
        <v>10</v>
      </c>
      <c r="C22" s="42" t="s">
        <v>362</v>
      </c>
      <c r="D22" s="43" t="s">
        <v>15</v>
      </c>
      <c r="E22" s="42" t="s">
        <v>7</v>
      </c>
      <c r="F22" s="44" t="s">
        <v>362</v>
      </c>
      <c r="G22" s="42" t="s">
        <v>362</v>
      </c>
      <c r="H22" s="42" t="s">
        <v>362</v>
      </c>
      <c r="I22" s="45" t="s">
        <v>362</v>
      </c>
      <c r="K22" s="4">
        <v>7</v>
      </c>
      <c r="L22" s="4" t="str">
        <f>mmconc(A22:C24,TRUE)</f>
        <v>-A---U---</v>
      </c>
      <c r="M22" s="4" t="str">
        <f t="shared" si="9"/>
        <v>-A-SP----</v>
      </c>
      <c r="N22" s="4" t="str">
        <f>mmconc(G16:G24,TRUE)</f>
        <v>SE-----P-</v>
      </c>
      <c r="P22" s="25" t="str">
        <f>IF(A22="",map(chSet,P34&amp;sq97&amp;srow97&amp;scol91,""),"")</f>
        <v>FRON</v>
      </c>
      <c r="Q22" s="6">
        <f>IF(B22="",map(chSet,Q34&amp;sq97&amp;srow97&amp;scol92,""),"")</f>
      </c>
      <c r="R22" s="6" t="str">
        <f>IF(C22="",map(chSet,R34&amp;sq97&amp;srow97&amp;scol93,""),"")</f>
        <v>EFRN</v>
      </c>
      <c r="S22" s="5">
        <f>IF(D22="",map(chSet,S34&amp;sq98&amp;srow97&amp;scol94,""),"")</f>
      </c>
      <c r="T22" s="6">
        <f>IF(E22="",map(chSet,T34&amp;sq98&amp;srow97&amp;scol95,""),"")</f>
      </c>
      <c r="U22" s="7" t="str">
        <f>IF(F22="",map(chSet,U34&amp;sq98&amp;srow97&amp;scol96,""),"")</f>
        <v>EFON</v>
      </c>
      <c r="V22" s="6" t="str">
        <f>IF(G22="",map(chSet,V34&amp;sq99&amp;srow97&amp;scol97,""),"")</f>
        <v>UFRON</v>
      </c>
      <c r="W22" s="6" t="str">
        <f>IF(H22="",map(chSet,W34&amp;sq99&amp;srow97&amp;scol98,""),"")</f>
        <v>EURON</v>
      </c>
      <c r="X22" s="6" t="str">
        <f>IF(I22="",map(chSet,X34&amp;sq99&amp;srow97&amp;scol99,""),"")</f>
        <v>EURON</v>
      </c>
      <c r="Y22" s="25"/>
      <c r="Z22" t="s">
        <v>321</v>
      </c>
      <c r="AB22"/>
      <c r="AC22"/>
      <c r="AD22"/>
      <c r="AE22" s="41" t="s">
        <v>291</v>
      </c>
      <c r="AF22" s="42" t="s">
        <v>286</v>
      </c>
      <c r="AG22" s="42" t="s">
        <v>290</v>
      </c>
      <c r="AH22" s="43">
        <v>8</v>
      </c>
      <c r="AI22" s="42" t="s">
        <v>283</v>
      </c>
      <c r="AJ22" s="44">
        <v>5</v>
      </c>
      <c r="AK22" s="42" t="s">
        <v>288</v>
      </c>
      <c r="AL22" s="42">
        <v>9</v>
      </c>
      <c r="AM22" s="45" t="s">
        <v>287</v>
      </c>
    </row>
    <row r="23" spans="1:39" ht="19.5">
      <c r="A23" s="41" t="s">
        <v>362</v>
      </c>
      <c r="B23" s="42" t="s">
        <v>362</v>
      </c>
      <c r="C23" s="42" t="s">
        <v>17</v>
      </c>
      <c r="D23" s="43" t="s">
        <v>362</v>
      </c>
      <c r="E23" s="42" t="s">
        <v>362</v>
      </c>
      <c r="F23" s="44" t="s">
        <v>362</v>
      </c>
      <c r="G23" s="42" t="s">
        <v>7</v>
      </c>
      <c r="H23" s="42" t="s">
        <v>362</v>
      </c>
      <c r="I23" s="45" t="s">
        <v>15</v>
      </c>
      <c r="K23" s="4">
        <v>8</v>
      </c>
      <c r="L23" s="4" t="str">
        <f>mmconc(D22:F24,TRUE)</f>
        <v>SP------U</v>
      </c>
      <c r="M23" s="4" t="str">
        <f t="shared" si="9"/>
        <v>--U---P-S</v>
      </c>
      <c r="N23" s="4" t="str">
        <f>mmconc(H16:H24,TRUE)</f>
        <v>---F-----</v>
      </c>
      <c r="P23" s="25" t="str">
        <f>IF(A23="",map(chSet,P35&amp;sq97&amp;srow98&amp;scol91,""),"")</f>
        <v>FRON</v>
      </c>
      <c r="Q23" s="6" t="str">
        <f>IF(B23="",map(chSet,Q35&amp;sq97&amp;srow98&amp;scol92,""),"")</f>
        <v>FRO</v>
      </c>
      <c r="R23" s="6">
        <f>IF(C23="",map(chSet,R35&amp;sq97&amp;srow98&amp;scol93,""),"")</f>
      </c>
      <c r="S23" s="5" t="str">
        <f>IF(D23="",map(chSet,S35&amp;sq98&amp;srow98&amp;scol94,""),"")</f>
        <v>FAN</v>
      </c>
      <c r="T23" s="6" t="str">
        <f>IF(E23="",map(chSet,T35&amp;sq98&amp;srow98&amp;scol95,""),"")</f>
        <v>EFARO</v>
      </c>
      <c r="U23" s="7" t="str">
        <f>IF(F23="",map(chSet,U35&amp;sq98&amp;srow98&amp;scol96,""),"")</f>
        <v>EFON</v>
      </c>
      <c r="V23" s="6">
        <f>IF(G23="",map(chSet,V35&amp;sq99&amp;srow98&amp;scol97,""),"")</f>
      </c>
      <c r="W23" s="6" t="str">
        <f>IF(H23="",map(chSet,W35&amp;sq99&amp;srow98&amp;scol98,""),"")</f>
        <v>ERON</v>
      </c>
      <c r="X23" s="6">
        <f>IF(I23="",map(chSet,X35&amp;sq99&amp;srow98&amp;scol99,""),"")</f>
      </c>
      <c r="Y23" s="25"/>
      <c r="Z23" t="s">
        <v>313</v>
      </c>
      <c r="AB23"/>
      <c r="AC23"/>
      <c r="AD23"/>
      <c r="AE23" s="41" t="s">
        <v>289</v>
      </c>
      <c r="AF23" s="42">
        <v>7</v>
      </c>
      <c r="AG23" s="42" t="s">
        <v>283</v>
      </c>
      <c r="AH23" s="43" t="s">
        <v>286</v>
      </c>
      <c r="AI23" s="42">
        <v>2</v>
      </c>
      <c r="AJ23" s="44" t="s">
        <v>291</v>
      </c>
      <c r="AK23" s="42" t="s">
        <v>290</v>
      </c>
      <c r="AL23" s="42">
        <v>5</v>
      </c>
      <c r="AM23" s="45">
        <v>8</v>
      </c>
    </row>
    <row r="24" spans="1:39" ht="20.25" thickBot="1">
      <c r="A24" s="56" t="s">
        <v>362</v>
      </c>
      <c r="B24" s="57" t="s">
        <v>362</v>
      </c>
      <c r="C24" s="57" t="s">
        <v>362</v>
      </c>
      <c r="D24" s="58" t="s">
        <v>362</v>
      </c>
      <c r="E24" s="57" t="s">
        <v>362</v>
      </c>
      <c r="F24" s="59" t="s">
        <v>17</v>
      </c>
      <c r="G24" s="57" t="s">
        <v>362</v>
      </c>
      <c r="H24" s="57" t="s">
        <v>362</v>
      </c>
      <c r="I24" s="60" t="s">
        <v>10</v>
      </c>
      <c r="K24" s="4">
        <v>9</v>
      </c>
      <c r="L24" s="4" t="str">
        <f>mmconc(G22:I24,TRUE)</f>
        <v>---P-S--A</v>
      </c>
      <c r="M24" s="4" t="str">
        <f t="shared" si="9"/>
        <v>-----U--A</v>
      </c>
      <c r="N24" s="4" t="str">
        <f>mmconc(I16:I24,TRUE)</f>
        <v>F------SA</v>
      </c>
      <c r="P24" s="27" t="str">
        <f>IF(A24="",map(chSet,P36&amp;sq97&amp;srow99&amp;scol91,""),"")</f>
        <v>SFRONP</v>
      </c>
      <c r="Q24" s="28" t="str">
        <f>IF(B24="",map(chSet,Q36&amp;sq97&amp;srow99&amp;scol92,""),"")</f>
        <v>FROP</v>
      </c>
      <c r="R24" s="28" t="str">
        <f>IF(C24="",map(chSet,R36&amp;sq97&amp;srow99&amp;scol93,""),"")</f>
        <v>EFRNP</v>
      </c>
      <c r="S24" s="29" t="str">
        <f>IF(D24="",map(chSet,S36&amp;sq98&amp;srow99&amp;scol94,""),"")</f>
        <v>FN</v>
      </c>
      <c r="T24" s="28" t="str">
        <f>IF(E24="",map(chSet,T36&amp;sq98&amp;srow99&amp;scol95,""),"")</f>
        <v>EFRO</v>
      </c>
      <c r="U24" s="30">
        <f>IF(F24="",map(chSet,U36&amp;sq98&amp;srow99&amp;scol96,""),"")</f>
      </c>
      <c r="V24" s="28" t="str">
        <f>IF(G24="",map(chSet,V36&amp;sq99&amp;srow99&amp;scol97,""),"")</f>
        <v>FRON</v>
      </c>
      <c r="W24" s="28" t="str">
        <f>IF(H24="",map(chSet,W36&amp;sq99&amp;srow99&amp;scol98,""),"")</f>
        <v>ERON</v>
      </c>
      <c r="X24" s="28">
        <f>IF(I24="",map(chSet,X36&amp;sq99&amp;srow99&amp;scol99,""),"")</f>
      </c>
      <c r="Y24" s="25"/>
      <c r="Z24" t="s">
        <v>314</v>
      </c>
      <c r="AB24"/>
      <c r="AC24"/>
      <c r="AD24"/>
      <c r="AE24" s="56" t="s">
        <v>285</v>
      </c>
      <c r="AF24" s="57" t="s">
        <v>287</v>
      </c>
      <c r="AG24" s="57" t="s">
        <v>284</v>
      </c>
      <c r="AH24" s="58" t="s">
        <v>288</v>
      </c>
      <c r="AI24" s="57" t="s">
        <v>290</v>
      </c>
      <c r="AJ24" s="59" t="s">
        <v>289</v>
      </c>
      <c r="AK24" s="57" t="s">
        <v>291</v>
      </c>
      <c r="AL24" s="57" t="s">
        <v>283</v>
      </c>
      <c r="AM24" s="60">
        <v>3</v>
      </c>
    </row>
    <row r="25" spans="26:36" ht="20.25" thickTop="1">
      <c r="Z25" t="s">
        <v>322</v>
      </c>
      <c r="AB25"/>
      <c r="AC25"/>
      <c r="AD25"/>
      <c r="AE25"/>
      <c r="AF25"/>
      <c r="AG25"/>
      <c r="AH25"/>
      <c r="AI25"/>
      <c r="AJ25"/>
    </row>
    <row r="26" spans="12:29" ht="20.25" thickBot="1">
      <c r="L26" s="4" t="str">
        <f>IF(azonly(nodupchar(mmconc(A16:J24,FALSE)))="","123456789",nodupchar(mmconc(A16:I24)))</f>
        <v>EUSFARONP</v>
      </c>
      <c r="P26" s="61"/>
      <c r="Z26" t="s">
        <v>323</v>
      </c>
      <c r="AB26"/>
      <c r="AC26"/>
    </row>
    <row r="27" spans="1:29" ht="21" thickBot="1" thickTop="1">
      <c r="A27" s="36" t="s">
        <v>288</v>
      </c>
      <c r="B27" s="37"/>
      <c r="C27" s="37"/>
      <c r="D27" s="38"/>
      <c r="E27" s="37" t="s">
        <v>289</v>
      </c>
      <c r="F27" s="39" t="s">
        <v>287</v>
      </c>
      <c r="G27" s="37"/>
      <c r="H27" s="37"/>
      <c r="I27" s="40"/>
      <c r="J27"/>
      <c r="P27" s="4" t="s">
        <v>239</v>
      </c>
      <c r="Z27" t="s">
        <v>324</v>
      </c>
      <c r="AB27"/>
      <c r="AC27"/>
    </row>
    <row r="28" spans="1:29" ht="20.25" thickTop="1">
      <c r="A28" s="41"/>
      <c r="B28" s="42" t="s">
        <v>289</v>
      </c>
      <c r="C28" s="42"/>
      <c r="D28" s="43" t="s">
        <v>285</v>
      </c>
      <c r="E28" s="42"/>
      <c r="F28" s="44" t="s">
        <v>290</v>
      </c>
      <c r="G28" s="42"/>
      <c r="H28" s="42"/>
      <c r="I28" s="45" t="s">
        <v>286</v>
      </c>
      <c r="J28"/>
      <c r="P28" s="36"/>
      <c r="Q28" s="37"/>
      <c r="R28" s="37"/>
      <c r="S28" s="38"/>
      <c r="T28" s="37"/>
      <c r="U28" s="39"/>
      <c r="V28" s="37"/>
      <c r="W28" s="37"/>
      <c r="X28" s="40"/>
      <c r="Z28" t="s">
        <v>325</v>
      </c>
      <c r="AB28"/>
      <c r="AC28"/>
    </row>
    <row r="29" spans="1:29" ht="20.25" thickBot="1">
      <c r="A29" s="41" t="s">
        <v>290</v>
      </c>
      <c r="B29" s="42" t="s">
        <v>284</v>
      </c>
      <c r="C29" s="42"/>
      <c r="D29" s="43"/>
      <c r="E29" s="42"/>
      <c r="F29" s="44"/>
      <c r="G29" s="42"/>
      <c r="H29" s="42"/>
      <c r="I29" s="45"/>
      <c r="J29"/>
      <c r="K29" s="4">
        <v>1</v>
      </c>
      <c r="L29" s="4" t="str">
        <f aca="true" t="shared" si="10" ref="L29:N35">strrev(L16)</f>
        <v>----S--UE</v>
      </c>
      <c r="M29" s="4" t="str">
        <f t="shared" si="10"/>
        <v>F-S----UE</v>
      </c>
      <c r="N29" s="4" t="str">
        <f t="shared" si="10"/>
        <v>--------E</v>
      </c>
      <c r="P29" s="41"/>
      <c r="Q29" s="42"/>
      <c r="R29" s="42"/>
      <c r="S29" s="43"/>
      <c r="T29" s="42"/>
      <c r="U29" s="44"/>
      <c r="V29" s="42"/>
      <c r="W29" s="42"/>
      <c r="X29" s="45"/>
      <c r="Z29" t="s">
        <v>326</v>
      </c>
      <c r="AB29"/>
      <c r="AC29"/>
    </row>
    <row r="30" spans="1:29" ht="21" thickBot="1" thickTop="1">
      <c r="A30" s="46"/>
      <c r="B30" s="47"/>
      <c r="C30" s="47" t="s">
        <v>288</v>
      </c>
      <c r="D30" s="48"/>
      <c r="E30" s="47"/>
      <c r="F30" s="49" t="s">
        <v>283</v>
      </c>
      <c r="G30" s="47" t="s">
        <v>287</v>
      </c>
      <c r="H30" s="47" t="s">
        <v>286</v>
      </c>
      <c r="I30" s="50"/>
      <c r="J30"/>
      <c r="K30" s="4">
        <v>2</v>
      </c>
      <c r="L30" s="4" t="str">
        <f t="shared" si="10"/>
        <v>S-RA-----</v>
      </c>
      <c r="M30" s="4" t="str">
        <f t="shared" si="10"/>
        <v>--EA---S-</v>
      </c>
      <c r="N30" s="4" t="str">
        <f t="shared" si="10"/>
        <v>--AN-E-SU</v>
      </c>
      <c r="P30" s="41"/>
      <c r="Q30" s="42"/>
      <c r="R30" s="42"/>
      <c r="S30" s="43"/>
      <c r="T30" s="42"/>
      <c r="U30" s="44"/>
      <c r="V30" s="42"/>
      <c r="W30" s="42"/>
      <c r="X30" s="45"/>
      <c r="Z30" t="s">
        <v>327</v>
      </c>
      <c r="AB30"/>
      <c r="AC30"/>
    </row>
    <row r="31" spans="1:29" ht="20.25" thickTop="1">
      <c r="A31" s="41"/>
      <c r="B31" s="42"/>
      <c r="C31" s="42"/>
      <c r="D31" s="43"/>
      <c r="E31" s="42" t="s">
        <v>291</v>
      </c>
      <c r="F31" s="44"/>
      <c r="G31" s="42"/>
      <c r="H31" s="42"/>
      <c r="I31" s="45"/>
      <c r="J31"/>
      <c r="K31" s="4">
        <v>3</v>
      </c>
      <c r="L31" s="4" t="str">
        <f t="shared" si="10"/>
        <v>-----EF-S</v>
      </c>
      <c r="M31" s="4" t="str">
        <f t="shared" si="10"/>
        <v>---S-R---</v>
      </c>
      <c r="N31" s="4" t="str">
        <f aca="true" t="shared" si="11" ref="N31:N37">strrev(N18)</f>
        <v>-U-SO----</v>
      </c>
      <c r="P31" s="46"/>
      <c r="Q31" s="47"/>
      <c r="R31" s="47"/>
      <c r="S31" s="48"/>
      <c r="T31" s="47"/>
      <c r="U31" s="49"/>
      <c r="V31" s="47"/>
      <c r="W31" s="47"/>
      <c r="X31" s="50"/>
      <c r="Z31" t="s">
        <v>328</v>
      </c>
      <c r="AB31"/>
      <c r="AC31"/>
    </row>
    <row r="32" spans="1:29" ht="20.25" thickBot="1">
      <c r="A32" s="51"/>
      <c r="B32" s="52" t="s">
        <v>286</v>
      </c>
      <c r="C32" s="52" t="s">
        <v>287</v>
      </c>
      <c r="D32" s="53" t="s">
        <v>289</v>
      </c>
      <c r="E32" s="52"/>
      <c r="F32" s="54"/>
      <c r="G32" s="52" t="s">
        <v>290</v>
      </c>
      <c r="H32" s="52"/>
      <c r="I32" s="55"/>
      <c r="J32"/>
      <c r="K32" s="4">
        <v>4</v>
      </c>
      <c r="L32" s="4" t="str">
        <f t="shared" si="10"/>
        <v>SN-O---E-</v>
      </c>
      <c r="M32" s="4" t="str">
        <f t="shared" si="10"/>
        <v>-F-----E-</v>
      </c>
      <c r="N32" s="4" t="str">
        <f t="shared" si="11"/>
        <v>--SOE-R--</v>
      </c>
      <c r="P32" s="41"/>
      <c r="Q32" s="42"/>
      <c r="R32" s="42"/>
      <c r="S32" s="43"/>
      <c r="T32" s="42"/>
      <c r="U32" s="44"/>
      <c r="V32" s="42"/>
      <c r="W32" s="42"/>
      <c r="X32" s="45"/>
      <c r="Z32" t="s">
        <v>329</v>
      </c>
      <c r="AB32"/>
      <c r="AC32"/>
    </row>
    <row r="33" spans="1:29" ht="21" thickBot="1" thickTop="1">
      <c r="A33" s="41"/>
      <c r="B33" s="42"/>
      <c r="C33" s="42"/>
      <c r="D33" s="43"/>
      <c r="E33" s="42"/>
      <c r="F33" s="44"/>
      <c r="G33" s="42"/>
      <c r="H33" s="42" t="s">
        <v>290</v>
      </c>
      <c r="I33" s="45" t="s">
        <v>289</v>
      </c>
      <c r="J33"/>
      <c r="K33" s="4">
        <v>5</v>
      </c>
      <c r="L33" s="4" t="str">
        <f t="shared" si="10"/>
        <v>R-O-NE---</v>
      </c>
      <c r="M33" s="4" t="str">
        <f t="shared" si="10"/>
        <v>----NEO--</v>
      </c>
      <c r="N33" s="4" t="str">
        <f t="shared" si="11"/>
        <v>--P-N----</v>
      </c>
      <c r="P33" s="51"/>
      <c r="Q33" s="52"/>
      <c r="R33" s="54"/>
      <c r="S33" s="51"/>
      <c r="T33" s="52"/>
      <c r="U33" s="54"/>
      <c r="V33" s="52"/>
      <c r="W33" s="52"/>
      <c r="X33" s="55"/>
      <c r="Z33" t="s">
        <v>330</v>
      </c>
      <c r="AB33"/>
      <c r="AC33"/>
    </row>
    <row r="34" spans="1:29" ht="20.25" thickTop="1">
      <c r="A34" s="41" t="s">
        <v>283</v>
      </c>
      <c r="B34" s="42"/>
      <c r="C34" s="42"/>
      <c r="D34" s="43" t="s">
        <v>288</v>
      </c>
      <c r="E34" s="42"/>
      <c r="F34" s="44" t="s">
        <v>289</v>
      </c>
      <c r="G34" s="42"/>
      <c r="H34" s="42" t="s">
        <v>285</v>
      </c>
      <c r="I34" s="45"/>
      <c r="J34"/>
      <c r="K34" s="4">
        <v>6</v>
      </c>
      <c r="L34" s="4" t="str">
        <f t="shared" si="10"/>
        <v>-------F-</v>
      </c>
      <c r="M34" s="4" t="str">
        <f t="shared" si="10"/>
        <v>---R-OSN-</v>
      </c>
      <c r="N34" s="4" t="str">
        <f t="shared" si="11"/>
        <v>U--R--SA-</v>
      </c>
      <c r="P34" s="41"/>
      <c r="Q34" s="42"/>
      <c r="R34" s="42"/>
      <c r="S34" s="43"/>
      <c r="T34" s="42"/>
      <c r="U34" s="44"/>
      <c r="V34" s="42"/>
      <c r="W34" s="42"/>
      <c r="X34" s="45"/>
      <c r="Z34" t="s">
        <v>331</v>
      </c>
      <c r="AB34"/>
      <c r="AC34"/>
    </row>
    <row r="35" spans="1:29" ht="20.25" thickBot="1">
      <c r="A35" s="56"/>
      <c r="B35" s="57"/>
      <c r="C35" s="57"/>
      <c r="D35" s="58" t="s">
        <v>286</v>
      </c>
      <c r="E35" s="57" t="s">
        <v>284</v>
      </c>
      <c r="F35" s="59"/>
      <c r="G35" s="57"/>
      <c r="H35" s="57"/>
      <c r="I35" s="60" t="s">
        <v>287</v>
      </c>
      <c r="J35"/>
      <c r="K35" s="4">
        <v>7</v>
      </c>
      <c r="L35" s="4" t="str">
        <f t="shared" si="10"/>
        <v>---U---A-</v>
      </c>
      <c r="M35" s="4" t="str">
        <f t="shared" si="10"/>
        <v>----PS-A-</v>
      </c>
      <c r="N35" s="4" t="str">
        <f t="shared" si="11"/>
        <v>-P-----ES</v>
      </c>
      <c r="P35" s="41"/>
      <c r="Q35" s="42"/>
      <c r="R35" s="42"/>
      <c r="S35" s="43"/>
      <c r="T35" s="42"/>
      <c r="U35" s="44"/>
      <c r="V35" s="42"/>
      <c r="W35" s="42"/>
      <c r="X35" s="45"/>
      <c r="Z35" t="s">
        <v>332</v>
      </c>
      <c r="AB35"/>
      <c r="AC35"/>
    </row>
    <row r="36" spans="1:29" ht="21" thickBot="1" thickTop="1">
      <c r="A36"/>
      <c r="B36"/>
      <c r="C36"/>
      <c r="D36"/>
      <c r="E36"/>
      <c r="F36"/>
      <c r="G36"/>
      <c r="H36"/>
      <c r="I36"/>
      <c r="J36"/>
      <c r="K36" s="4">
        <v>8</v>
      </c>
      <c r="L36" s="4" t="str">
        <f>strrev(L23)</f>
        <v>U------PS</v>
      </c>
      <c r="M36" s="4" t="str">
        <f>strrev(M23)</f>
        <v>S-P---U--</v>
      </c>
      <c r="N36" s="4" t="str">
        <f t="shared" si="11"/>
        <v>-----F---</v>
      </c>
      <c r="P36" s="56"/>
      <c r="Q36" s="57"/>
      <c r="R36" s="57"/>
      <c r="S36" s="58"/>
      <c r="T36" s="57"/>
      <c r="U36" s="59"/>
      <c r="V36" s="57"/>
      <c r="W36" s="57"/>
      <c r="X36" s="60"/>
      <c r="Z36" t="s">
        <v>333</v>
      </c>
      <c r="AB36"/>
      <c r="AC36"/>
    </row>
    <row r="37" spans="1:29" ht="20.25" thickTop="1">
      <c r="A37"/>
      <c r="B37"/>
      <c r="C37"/>
      <c r="D37"/>
      <c r="E37"/>
      <c r="F37"/>
      <c r="G37"/>
      <c r="H37"/>
      <c r="I37"/>
      <c r="J37"/>
      <c r="K37" s="4">
        <v>9</v>
      </c>
      <c r="L37" s="4" t="str">
        <f>strrev(L24)</f>
        <v>A--S-P---</v>
      </c>
      <c r="M37" s="4" t="str">
        <f>strrev(M24)</f>
        <v>A--U-----</v>
      </c>
      <c r="N37" s="4" t="str">
        <f t="shared" si="11"/>
        <v>AS------F</v>
      </c>
      <c r="Z37" t="s">
        <v>315</v>
      </c>
      <c r="AB37"/>
      <c r="AC37"/>
    </row>
    <row r="38" spans="1:29" ht="19.5">
      <c r="A38"/>
      <c r="B38"/>
      <c r="C38"/>
      <c r="D38"/>
      <c r="E38"/>
      <c r="F38"/>
      <c r="G38"/>
      <c r="H38"/>
      <c r="I38"/>
      <c r="J38"/>
      <c r="Z38" t="s">
        <v>316</v>
      </c>
      <c r="AB38"/>
      <c r="AC38"/>
    </row>
    <row r="39" spans="1:29" ht="20.25" thickBot="1">
      <c r="A39"/>
      <c r="B39"/>
      <c r="C39"/>
      <c r="D39"/>
      <c r="E39"/>
      <c r="F39"/>
      <c r="G39"/>
      <c r="H39"/>
      <c r="I39"/>
      <c r="J39"/>
      <c r="Z39" t="s">
        <v>317</v>
      </c>
      <c r="AB39"/>
      <c r="AC39"/>
    </row>
    <row r="40" spans="1:29" ht="20.25" thickTop="1">
      <c r="A40"/>
      <c r="B40"/>
      <c r="C40"/>
      <c r="D40"/>
      <c r="E40"/>
      <c r="F40"/>
      <c r="G40"/>
      <c r="H40"/>
      <c r="I40"/>
      <c r="J40"/>
      <c r="P40" s="36"/>
      <c r="Q40" s="37"/>
      <c r="R40" s="37"/>
      <c r="S40" s="38"/>
      <c r="T40" s="37"/>
      <c r="U40" s="39"/>
      <c r="V40" s="37"/>
      <c r="W40" s="37"/>
      <c r="X40" s="40"/>
      <c r="Y40"/>
      <c r="Z40" t="s">
        <v>318</v>
      </c>
      <c r="AB40"/>
      <c r="AC40"/>
    </row>
    <row r="41" spans="16:29" ht="19.5">
      <c r="P41" s="41"/>
      <c r="Q41" s="42"/>
      <c r="R41" s="42"/>
      <c r="S41" s="43"/>
      <c r="T41" s="42"/>
      <c r="U41" s="44"/>
      <c r="V41" s="42"/>
      <c r="W41" s="42"/>
      <c r="X41" s="45"/>
      <c r="Y41"/>
      <c r="Z41" t="s">
        <v>319</v>
      </c>
      <c r="AB41"/>
      <c r="AC41"/>
    </row>
    <row r="42" spans="16:29" ht="20.25" thickBot="1">
      <c r="P42" s="41"/>
      <c r="Q42" s="42"/>
      <c r="R42" s="42"/>
      <c r="S42" s="43"/>
      <c r="T42" s="42"/>
      <c r="U42" s="44"/>
      <c r="V42" s="42"/>
      <c r="W42" s="42"/>
      <c r="X42" s="45"/>
      <c r="Y42"/>
      <c r="Z42" t="s">
        <v>320</v>
      </c>
      <c r="AB42"/>
      <c r="AC42"/>
    </row>
    <row r="43" spans="1:29" ht="20.25" thickTop="1">
      <c r="A43" s="36" t="s">
        <v>283</v>
      </c>
      <c r="B43" s="37"/>
      <c r="C43" s="37"/>
      <c r="D43" s="38"/>
      <c r="E43" s="37" t="s">
        <v>285</v>
      </c>
      <c r="F43" s="39"/>
      <c r="G43" s="37" t="s">
        <v>286</v>
      </c>
      <c r="H43" s="37" t="s">
        <v>287</v>
      </c>
      <c r="I43" s="40"/>
      <c r="P43" s="46"/>
      <c r="Q43" s="47"/>
      <c r="R43" s="47"/>
      <c r="S43" s="48"/>
      <c r="T43" s="47"/>
      <c r="U43" s="49"/>
      <c r="V43" s="47"/>
      <c r="W43" s="47"/>
      <c r="X43" s="50"/>
      <c r="Y43"/>
      <c r="Z43" t="s">
        <v>334</v>
      </c>
      <c r="AB43"/>
      <c r="AC43"/>
    </row>
    <row r="44" spans="1:29" ht="19.5">
      <c r="A44" s="41" t="s">
        <v>288</v>
      </c>
      <c r="B44" s="42" t="s">
        <v>289</v>
      </c>
      <c r="C44" s="42" t="s">
        <v>285</v>
      </c>
      <c r="D44" s="43"/>
      <c r="E44" s="42" t="s">
        <v>286</v>
      </c>
      <c r="F44" s="44"/>
      <c r="G44" s="42"/>
      <c r="H44" s="42"/>
      <c r="I44" s="45"/>
      <c r="P44" s="41"/>
      <c r="Q44" s="42"/>
      <c r="R44" s="42"/>
      <c r="S44" s="43"/>
      <c r="T44" s="42"/>
      <c r="U44" s="44"/>
      <c r="V44" s="42"/>
      <c r="W44" s="42"/>
      <c r="X44" s="45"/>
      <c r="Y44"/>
      <c r="Z44" t="s">
        <v>335</v>
      </c>
      <c r="AB44"/>
      <c r="AC44"/>
    </row>
    <row r="45" spans="1:29" ht="20.25" thickBot="1">
      <c r="A45" s="41"/>
      <c r="B45" s="42"/>
      <c r="C45" s="42" t="s">
        <v>286</v>
      </c>
      <c r="D45" s="43" t="s">
        <v>284</v>
      </c>
      <c r="E45" s="42"/>
      <c r="F45" s="44"/>
      <c r="G45" s="42"/>
      <c r="H45" s="42" t="s">
        <v>289</v>
      </c>
      <c r="I45" s="45"/>
      <c r="P45" s="51"/>
      <c r="Q45" s="52"/>
      <c r="R45" s="52"/>
      <c r="S45" s="53"/>
      <c r="T45" s="52"/>
      <c r="U45" s="54"/>
      <c r="V45" s="52"/>
      <c r="W45" s="52"/>
      <c r="X45" s="55"/>
      <c r="Y45"/>
      <c r="Z45" t="s">
        <v>336</v>
      </c>
      <c r="AB45"/>
      <c r="AC45"/>
    </row>
    <row r="46" spans="1:29" ht="20.25" thickTop="1">
      <c r="A46" s="46"/>
      <c r="B46" s="47"/>
      <c r="C46" s="47"/>
      <c r="D46" s="48" t="s">
        <v>287</v>
      </c>
      <c r="E46" s="47"/>
      <c r="F46" s="49"/>
      <c r="G46" s="47"/>
      <c r="H46" s="47" t="s">
        <v>286</v>
      </c>
      <c r="I46" s="50"/>
      <c r="P46" s="41"/>
      <c r="Q46" s="42"/>
      <c r="R46" s="42"/>
      <c r="S46" s="43"/>
      <c r="T46" s="42"/>
      <c r="U46" s="44"/>
      <c r="V46" s="42"/>
      <c r="W46" s="42"/>
      <c r="X46" s="45"/>
      <c r="Y46"/>
      <c r="Z46" t="s">
        <v>337</v>
      </c>
      <c r="AB46"/>
      <c r="AC46"/>
    </row>
    <row r="47" spans="1:29" ht="19.5">
      <c r="A47" s="41"/>
      <c r="B47" s="42"/>
      <c r="C47" s="42" t="s">
        <v>287</v>
      </c>
      <c r="D47" s="43"/>
      <c r="E47" s="42"/>
      <c r="F47" s="44"/>
      <c r="G47" s="42" t="s">
        <v>284</v>
      </c>
      <c r="H47" s="42"/>
      <c r="I47" s="45"/>
      <c r="P47" s="41"/>
      <c r="Q47" s="42"/>
      <c r="R47" s="42"/>
      <c r="S47" s="43"/>
      <c r="T47" s="42"/>
      <c r="U47" s="44"/>
      <c r="V47" s="42"/>
      <c r="W47" s="42"/>
      <c r="X47" s="45"/>
      <c r="Y47"/>
      <c r="Z47" t="s">
        <v>338</v>
      </c>
      <c r="AB47"/>
      <c r="AC47"/>
    </row>
    <row r="48" spans="1:26" ht="20.25" thickBot="1">
      <c r="A48" s="51"/>
      <c r="B48" s="52" t="s">
        <v>288</v>
      </c>
      <c r="C48" s="52"/>
      <c r="D48" s="53"/>
      <c r="E48" s="52"/>
      <c r="F48" s="54" t="s">
        <v>290</v>
      </c>
      <c r="G48" s="52"/>
      <c r="H48" s="52"/>
      <c r="I48" s="55"/>
      <c r="P48" s="56"/>
      <c r="Q48" s="57"/>
      <c r="R48" s="57"/>
      <c r="S48" s="58"/>
      <c r="T48" s="57"/>
      <c r="U48" s="59"/>
      <c r="V48" s="57"/>
      <c r="W48" s="57"/>
      <c r="X48" s="60"/>
      <c r="Y48"/>
      <c r="Z48" t="s">
        <v>339</v>
      </c>
    </row>
    <row r="49" spans="1:26" ht="20.25" thickTop="1">
      <c r="A49" s="41"/>
      <c r="B49" s="42" t="s">
        <v>285</v>
      </c>
      <c r="C49" s="42"/>
      <c r="D49" s="43"/>
      <c r="E49" s="42"/>
      <c r="F49" s="44" t="s">
        <v>286</v>
      </c>
      <c r="G49" s="42" t="s">
        <v>291</v>
      </c>
      <c r="H49" s="42"/>
      <c r="I49" s="45"/>
      <c r="P49"/>
      <c r="Q49"/>
      <c r="R49"/>
      <c r="S49"/>
      <c r="T49"/>
      <c r="U49"/>
      <c r="V49"/>
      <c r="W49"/>
      <c r="X49"/>
      <c r="Y49"/>
      <c r="Z49" t="s">
        <v>340</v>
      </c>
    </row>
    <row r="50" spans="1:26" ht="19.5">
      <c r="A50" s="41"/>
      <c r="B50" s="42"/>
      <c r="C50" s="42"/>
      <c r="D50" s="43"/>
      <c r="E50" s="42" t="s">
        <v>287</v>
      </c>
      <c r="F50" s="44"/>
      <c r="G50" s="42" t="s">
        <v>285</v>
      </c>
      <c r="H50" s="42" t="s">
        <v>284</v>
      </c>
      <c r="I50" s="45" t="s">
        <v>283</v>
      </c>
      <c r="P50"/>
      <c r="Q50"/>
      <c r="R50"/>
      <c r="S50"/>
      <c r="T50"/>
      <c r="U50"/>
      <c r="V50"/>
      <c r="W50"/>
      <c r="X50"/>
      <c r="Y50"/>
      <c r="Z50" t="s">
        <v>341</v>
      </c>
    </row>
    <row r="51" spans="1:26" ht="20.25" thickBot="1">
      <c r="A51" s="56"/>
      <c r="B51" s="57" t="s">
        <v>284</v>
      </c>
      <c r="C51" s="57" t="s">
        <v>288</v>
      </c>
      <c r="D51" s="58"/>
      <c r="E51" s="57" t="s">
        <v>291</v>
      </c>
      <c r="F51" s="59"/>
      <c r="G51" s="57"/>
      <c r="H51" s="57"/>
      <c r="I51" s="60" t="s">
        <v>286</v>
      </c>
      <c r="P51"/>
      <c r="Q51"/>
      <c r="R51"/>
      <c r="S51"/>
      <c r="T51"/>
      <c r="U51"/>
      <c r="V51"/>
      <c r="W51"/>
      <c r="X51"/>
      <c r="Y51"/>
      <c r="Z51" t="s">
        <v>342</v>
      </c>
    </row>
    <row r="52" ht="20.25" thickTop="1">
      <c r="Z52" t="s">
        <v>343</v>
      </c>
    </row>
    <row r="53" ht="20.25" thickBot="1">
      <c r="Z53" t="s">
        <v>344</v>
      </c>
    </row>
    <row r="54" spans="1:26" ht="20.25" thickTop="1">
      <c r="A54" s="36"/>
      <c r="B54" s="37"/>
      <c r="C54" s="37"/>
      <c r="D54" s="38"/>
      <c r="E54" s="37"/>
      <c r="F54" s="39" t="s">
        <v>283</v>
      </c>
      <c r="G54" s="37"/>
      <c r="H54" s="37"/>
      <c r="I54" s="40" t="s">
        <v>284</v>
      </c>
      <c r="Z54" t="s">
        <v>345</v>
      </c>
    </row>
    <row r="55" spans="1:26" ht="19.5">
      <c r="A55" s="41"/>
      <c r="B55" s="42" t="s">
        <v>289</v>
      </c>
      <c r="C55" s="42" t="s">
        <v>290</v>
      </c>
      <c r="D55" s="43"/>
      <c r="E55" s="42" t="s">
        <v>288</v>
      </c>
      <c r="F55" s="44"/>
      <c r="G55" s="42" t="s">
        <v>285</v>
      </c>
      <c r="H55" s="42"/>
      <c r="I55" s="45"/>
      <c r="Z55" t="s">
        <v>346</v>
      </c>
    </row>
    <row r="56" spans="1:26" ht="20.25" thickBot="1">
      <c r="A56" s="41"/>
      <c r="B56" s="42"/>
      <c r="C56" s="42"/>
      <c r="D56" s="43"/>
      <c r="E56" s="42"/>
      <c r="F56" s="44"/>
      <c r="G56" s="42" t="s">
        <v>287</v>
      </c>
      <c r="H56" s="42" t="s">
        <v>288</v>
      </c>
      <c r="I56" s="45"/>
      <c r="Z56" t="s">
        <v>347</v>
      </c>
    </row>
    <row r="57" spans="1:26" ht="20.25" thickTop="1">
      <c r="A57" s="46" t="s">
        <v>291</v>
      </c>
      <c r="B57" s="47"/>
      <c r="C57" s="47"/>
      <c r="D57" s="48" t="s">
        <v>290</v>
      </c>
      <c r="E57" s="47"/>
      <c r="F57" s="49"/>
      <c r="G57" s="47"/>
      <c r="H57" s="47"/>
      <c r="I57" s="50" t="s">
        <v>286</v>
      </c>
      <c r="Z57" t="s">
        <v>348</v>
      </c>
    </row>
    <row r="58" spans="1:26" ht="19.5">
      <c r="A58" s="41"/>
      <c r="B58" s="42"/>
      <c r="C58" s="42"/>
      <c r="D58" s="43" t="s">
        <v>284</v>
      </c>
      <c r="E58" s="42" t="s">
        <v>291</v>
      </c>
      <c r="F58" s="44" t="s">
        <v>287</v>
      </c>
      <c r="G58" s="42"/>
      <c r="H58" s="42"/>
      <c r="I58" s="45"/>
      <c r="Z58" t="s">
        <v>349</v>
      </c>
    </row>
    <row r="59" spans="1:26" ht="20.25" thickBot="1">
      <c r="A59" s="51" t="s">
        <v>290</v>
      </c>
      <c r="B59" s="52"/>
      <c r="C59" s="52"/>
      <c r="D59" s="53"/>
      <c r="E59" s="52"/>
      <c r="F59" s="54" t="s">
        <v>286</v>
      </c>
      <c r="G59" s="52"/>
      <c r="H59" s="52"/>
      <c r="I59" s="55" t="s">
        <v>285</v>
      </c>
      <c r="Z59" t="s">
        <v>350</v>
      </c>
    </row>
    <row r="60" spans="1:26" ht="20.25" thickTop="1">
      <c r="A60" s="41"/>
      <c r="B60" s="42" t="s">
        <v>284</v>
      </c>
      <c r="C60" s="42" t="s">
        <v>285</v>
      </c>
      <c r="D60" s="43"/>
      <c r="E60" s="42"/>
      <c r="F60" s="44"/>
      <c r="G60" s="42"/>
      <c r="H60" s="42"/>
      <c r="I60" s="45"/>
      <c r="Z60" t="s">
        <v>351</v>
      </c>
    </row>
    <row r="61" spans="1:26" ht="19.5">
      <c r="A61" s="41"/>
      <c r="B61" s="42"/>
      <c r="C61" s="42" t="s">
        <v>287</v>
      </c>
      <c r="D61" s="43"/>
      <c r="E61" s="42" t="s">
        <v>290</v>
      </c>
      <c r="F61" s="44"/>
      <c r="G61" s="42" t="s">
        <v>284</v>
      </c>
      <c r="H61" s="42" t="s">
        <v>286</v>
      </c>
      <c r="I61" s="45"/>
      <c r="Z61" t="s">
        <v>327</v>
      </c>
    </row>
    <row r="62" spans="1:26" ht="20.25" thickBot="1">
      <c r="A62" s="56" t="s">
        <v>289</v>
      </c>
      <c r="B62" s="57"/>
      <c r="C62" s="57"/>
      <c r="D62" s="58" t="s">
        <v>283</v>
      </c>
      <c r="E62" s="57"/>
      <c r="F62" s="59"/>
      <c r="G62" s="57"/>
      <c r="H62" s="57"/>
      <c r="I62" s="60"/>
      <c r="Z62" t="s">
        <v>328</v>
      </c>
    </row>
    <row r="63" ht="20.25" thickTop="1">
      <c r="Z63" t="s">
        <v>329</v>
      </c>
    </row>
    <row r="64" ht="20.25" thickBot="1">
      <c r="Z64" t="s">
        <v>330</v>
      </c>
    </row>
    <row r="65" spans="1:26" ht="20.25" thickTop="1">
      <c r="A65" s="36"/>
      <c r="B65" s="37"/>
      <c r="C65" s="37" t="s">
        <v>287</v>
      </c>
      <c r="D65" s="38"/>
      <c r="E65" s="37"/>
      <c r="F65" s="39" t="s">
        <v>283</v>
      </c>
      <c r="G65" s="37"/>
      <c r="H65" s="37"/>
      <c r="I65" s="40"/>
      <c r="Z65" t="s">
        <v>331</v>
      </c>
    </row>
    <row r="66" spans="1:26" ht="19.5">
      <c r="A66" s="41"/>
      <c r="B66" s="42"/>
      <c r="C66" s="42" t="s">
        <v>283</v>
      </c>
      <c r="D66" s="43"/>
      <c r="E66" s="42" t="s">
        <v>286</v>
      </c>
      <c r="F66" s="44"/>
      <c r="G66" s="42"/>
      <c r="H66" s="42" t="s">
        <v>290</v>
      </c>
      <c r="I66" s="45"/>
      <c r="Z66" t="s">
        <v>332</v>
      </c>
    </row>
    <row r="67" spans="1:26" ht="20.25" thickBot="1">
      <c r="A67" s="41" t="s">
        <v>284</v>
      </c>
      <c r="B67" s="42"/>
      <c r="C67" s="42"/>
      <c r="D67" s="43" t="s">
        <v>287</v>
      </c>
      <c r="E67" s="42"/>
      <c r="F67" s="44"/>
      <c r="G67" s="42" t="s">
        <v>285</v>
      </c>
      <c r="H67" s="42"/>
      <c r="I67" s="45" t="s">
        <v>283</v>
      </c>
      <c r="Z67" t="s">
        <v>333</v>
      </c>
    </row>
    <row r="68" spans="1:26" ht="20.25" thickTop="1">
      <c r="A68" s="46" t="s">
        <v>288</v>
      </c>
      <c r="B68" s="47"/>
      <c r="C68" s="47" t="s">
        <v>289</v>
      </c>
      <c r="D68" s="48"/>
      <c r="E68" s="47"/>
      <c r="F68" s="49" t="s">
        <v>290</v>
      </c>
      <c r="G68" s="47"/>
      <c r="H68" s="47"/>
      <c r="I68" s="50" t="s">
        <v>291</v>
      </c>
      <c r="Z68" t="s">
        <v>315</v>
      </c>
    </row>
    <row r="69" spans="1:26" ht="19.5">
      <c r="A69" s="41"/>
      <c r="B69" s="42"/>
      <c r="C69" s="42" t="s">
        <v>286</v>
      </c>
      <c r="D69" s="43"/>
      <c r="E69" s="42" t="s">
        <v>283</v>
      </c>
      <c r="F69" s="44"/>
      <c r="G69" s="42" t="s">
        <v>284</v>
      </c>
      <c r="H69" s="42"/>
      <c r="I69" s="45"/>
      <c r="Z69" t="s">
        <v>316</v>
      </c>
    </row>
    <row r="70" spans="1:26" ht="20.25" thickBot="1">
      <c r="A70" s="51" t="s">
        <v>285</v>
      </c>
      <c r="B70" s="52"/>
      <c r="C70" s="52"/>
      <c r="D70" s="53" t="s">
        <v>291</v>
      </c>
      <c r="E70" s="52"/>
      <c r="F70" s="54"/>
      <c r="G70" s="52" t="s">
        <v>286</v>
      </c>
      <c r="H70" s="52"/>
      <c r="I70" s="55" t="s">
        <v>289</v>
      </c>
      <c r="Z70" t="s">
        <v>317</v>
      </c>
    </row>
    <row r="71" spans="1:26" ht="20.25" thickTop="1">
      <c r="A71" s="41" t="s">
        <v>283</v>
      </c>
      <c r="B71" s="42"/>
      <c r="C71" s="42" t="s">
        <v>285</v>
      </c>
      <c r="D71" s="43"/>
      <c r="E71" s="42"/>
      <c r="F71" s="44" t="s">
        <v>287</v>
      </c>
      <c r="G71" s="42"/>
      <c r="H71" s="42"/>
      <c r="I71" s="45" t="s">
        <v>284</v>
      </c>
      <c r="Z71" t="s">
        <v>318</v>
      </c>
    </row>
    <row r="72" spans="1:26" ht="19.5">
      <c r="A72" s="41"/>
      <c r="B72" s="42" t="s">
        <v>287</v>
      </c>
      <c r="C72" s="42"/>
      <c r="D72" s="43"/>
      <c r="E72" s="42" t="s">
        <v>284</v>
      </c>
      <c r="F72" s="44"/>
      <c r="G72" s="42" t="s">
        <v>290</v>
      </c>
      <c r="H72" s="42"/>
      <c r="I72" s="45"/>
      <c r="Z72" t="s">
        <v>319</v>
      </c>
    </row>
    <row r="73" spans="1:26" ht="20.25" thickBot="1">
      <c r="A73" s="56"/>
      <c r="B73" s="57"/>
      <c r="C73" s="57"/>
      <c r="D73" s="58" t="s">
        <v>290</v>
      </c>
      <c r="E73" s="57"/>
      <c r="F73" s="59"/>
      <c r="G73" s="57" t="s">
        <v>287</v>
      </c>
      <c r="H73" s="57"/>
      <c r="I73" s="60"/>
      <c r="Z73" t="s">
        <v>320</v>
      </c>
    </row>
    <row r="74" ht="20.25" thickTop="1">
      <c r="Z74" t="s">
        <v>334</v>
      </c>
    </row>
    <row r="75" ht="20.25" thickBot="1">
      <c r="Z75" t="s">
        <v>335</v>
      </c>
    </row>
    <row r="76" spans="1:26" ht="20.25" thickTop="1">
      <c r="A76" s="36"/>
      <c r="B76" s="37"/>
      <c r="C76" s="37" t="s">
        <v>285</v>
      </c>
      <c r="D76" s="38"/>
      <c r="E76" s="37"/>
      <c r="F76" s="39"/>
      <c r="G76" s="37" t="s">
        <v>284</v>
      </c>
      <c r="H76" s="37" t="s">
        <v>288</v>
      </c>
      <c r="I76" s="40"/>
      <c r="Z76" t="s">
        <v>336</v>
      </c>
    </row>
    <row r="77" spans="1:26" ht="19.5">
      <c r="A77" s="41"/>
      <c r="B77" s="42"/>
      <c r="C77" s="42"/>
      <c r="D77" s="43"/>
      <c r="E77" s="42"/>
      <c r="F77" s="44" t="s">
        <v>289</v>
      </c>
      <c r="G77" s="42"/>
      <c r="H77" s="42"/>
      <c r="I77" s="45" t="s">
        <v>291</v>
      </c>
      <c r="Z77" t="s">
        <v>337</v>
      </c>
    </row>
    <row r="78" spans="1:26" ht="20.25" thickBot="1">
      <c r="A78" s="41" t="s">
        <v>291</v>
      </c>
      <c r="B78" s="42" t="s">
        <v>288</v>
      </c>
      <c r="C78" s="42"/>
      <c r="D78" s="43"/>
      <c r="E78" s="42" t="s">
        <v>284</v>
      </c>
      <c r="F78" s="44" t="s">
        <v>290</v>
      </c>
      <c r="G78" s="42" t="s">
        <v>286</v>
      </c>
      <c r="H78" s="42"/>
      <c r="I78" s="45"/>
      <c r="Z78" t="s">
        <v>338</v>
      </c>
    </row>
    <row r="79" spans="1:26" ht="20.25" thickTop="1">
      <c r="A79" s="46"/>
      <c r="B79" s="47" t="s">
        <v>284</v>
      </c>
      <c r="C79" s="47"/>
      <c r="D79" s="48"/>
      <c r="E79" s="47" t="s">
        <v>288</v>
      </c>
      <c r="F79" s="49"/>
      <c r="G79" s="47"/>
      <c r="H79" s="47" t="s">
        <v>287</v>
      </c>
      <c r="I79" s="50"/>
      <c r="Z79" t="s">
        <v>339</v>
      </c>
    </row>
    <row r="80" spans="1:9" ht="19.5">
      <c r="A80" s="41"/>
      <c r="B80" s="42"/>
      <c r="C80" s="42"/>
      <c r="D80" s="43" t="s">
        <v>287</v>
      </c>
      <c r="E80" s="42"/>
      <c r="F80" s="44" t="s">
        <v>286</v>
      </c>
      <c r="G80" s="42"/>
      <c r="H80" s="42"/>
      <c r="I80" s="45"/>
    </row>
    <row r="81" spans="1:9" ht="20.25" thickBot="1">
      <c r="A81" s="51"/>
      <c r="B81" s="52"/>
      <c r="C81" s="52" t="s">
        <v>286</v>
      </c>
      <c r="D81" s="53"/>
      <c r="E81" s="52" t="s">
        <v>289</v>
      </c>
      <c r="F81" s="54"/>
      <c r="G81" s="52"/>
      <c r="H81" s="52" t="s">
        <v>285</v>
      </c>
      <c r="I81" s="55"/>
    </row>
    <row r="82" spans="1:9" ht="20.25" thickTop="1">
      <c r="A82" s="41"/>
      <c r="B82" s="42"/>
      <c r="C82" s="42" t="s">
        <v>289</v>
      </c>
      <c r="D82" s="43" t="s">
        <v>290</v>
      </c>
      <c r="E82" s="42" t="s">
        <v>291</v>
      </c>
      <c r="F82" s="44"/>
      <c r="G82" s="42"/>
      <c r="H82" s="42" t="s">
        <v>284</v>
      </c>
      <c r="I82" s="45" t="s">
        <v>283</v>
      </c>
    </row>
    <row r="83" spans="1:9" ht="19.5">
      <c r="A83" s="41" t="s">
        <v>285</v>
      </c>
      <c r="B83" s="42"/>
      <c r="C83" s="42"/>
      <c r="D83" s="43" t="s">
        <v>289</v>
      </c>
      <c r="E83" s="42"/>
      <c r="F83" s="44"/>
      <c r="G83" s="42"/>
      <c r="H83" s="42"/>
      <c r="I83" s="45"/>
    </row>
    <row r="84" spans="1:9" ht="20.25" thickBot="1">
      <c r="A84" s="56"/>
      <c r="B84" s="57" t="s">
        <v>290</v>
      </c>
      <c r="C84" s="57" t="s">
        <v>283</v>
      </c>
      <c r="D84" s="58"/>
      <c r="E84" s="57"/>
      <c r="F84" s="59"/>
      <c r="G84" s="57" t="s">
        <v>289</v>
      </c>
      <c r="H84" s="57"/>
      <c r="I84" s="60"/>
    </row>
    <row r="85" ht="20.25" thickTop="1"/>
    <row r="86" ht="20.25" thickBot="1"/>
    <row r="87" spans="1:9" ht="20.25" thickTop="1">
      <c r="A87" s="36" t="s">
        <v>287</v>
      </c>
      <c r="B87" s="37"/>
      <c r="C87" s="37"/>
      <c r="D87" s="38" t="s">
        <v>285</v>
      </c>
      <c r="E87" s="37"/>
      <c r="F87" s="39"/>
      <c r="G87" s="37"/>
      <c r="H87" s="37"/>
      <c r="I87" s="40"/>
    </row>
    <row r="88" spans="1:9" ht="19.5">
      <c r="A88" s="41"/>
      <c r="B88" s="42"/>
      <c r="C88" s="42"/>
      <c r="D88" s="43"/>
      <c r="E88" s="42"/>
      <c r="F88" s="44" t="s">
        <v>288</v>
      </c>
      <c r="G88" s="42" t="s">
        <v>284</v>
      </c>
      <c r="H88" s="42" t="s">
        <v>289</v>
      </c>
      <c r="I88" s="45"/>
    </row>
    <row r="89" spans="1:9" ht="20.25" thickBot="1">
      <c r="A89" s="41"/>
      <c r="B89" s="42"/>
      <c r="C89" s="42"/>
      <c r="D89" s="43" t="s">
        <v>284</v>
      </c>
      <c r="E89" s="42" t="s">
        <v>291</v>
      </c>
      <c r="F89" s="44"/>
      <c r="G89" s="42"/>
      <c r="H89" s="42"/>
      <c r="I89" s="45" t="s">
        <v>283</v>
      </c>
    </row>
    <row r="90" spans="1:9" ht="20.25" thickTop="1">
      <c r="A90" s="46"/>
      <c r="B90" s="47"/>
      <c r="C90" s="47" t="s">
        <v>291</v>
      </c>
      <c r="D90" s="48"/>
      <c r="E90" s="47"/>
      <c r="F90" s="49"/>
      <c r="G90" s="47" t="s">
        <v>283</v>
      </c>
      <c r="H90" s="47" t="s">
        <v>290</v>
      </c>
      <c r="I90" s="50" t="s">
        <v>287</v>
      </c>
    </row>
    <row r="91" spans="1:9" ht="19.5">
      <c r="A91" s="41" t="s">
        <v>284</v>
      </c>
      <c r="B91" s="42" t="s">
        <v>290</v>
      </c>
      <c r="C91" s="42"/>
      <c r="D91" s="43"/>
      <c r="E91" s="42"/>
      <c r="F91" s="44"/>
      <c r="G91" s="42"/>
      <c r="H91" s="42" t="s">
        <v>286</v>
      </c>
      <c r="I91" s="45" t="s">
        <v>288</v>
      </c>
    </row>
    <row r="92" spans="1:9" ht="20.25" thickBot="1">
      <c r="A92" s="51" t="s">
        <v>289</v>
      </c>
      <c r="B92" s="52" t="s">
        <v>283</v>
      </c>
      <c r="C92" s="52" t="s">
        <v>286</v>
      </c>
      <c r="D92" s="53"/>
      <c r="E92" s="52"/>
      <c r="F92" s="54"/>
      <c r="G92" s="52" t="s">
        <v>291</v>
      </c>
      <c r="H92" s="52"/>
      <c r="I92" s="55"/>
    </row>
    <row r="93" spans="1:9" ht="20.25" thickTop="1">
      <c r="A93" s="41" t="s">
        <v>290</v>
      </c>
      <c r="B93" s="42"/>
      <c r="C93" s="42"/>
      <c r="D93" s="43"/>
      <c r="E93" s="42" t="s">
        <v>286</v>
      </c>
      <c r="F93" s="44" t="s">
        <v>285</v>
      </c>
      <c r="G93" s="42"/>
      <c r="H93" s="42"/>
      <c r="I93" s="45"/>
    </row>
    <row r="94" spans="1:9" ht="19.5">
      <c r="A94" s="41"/>
      <c r="B94" s="42" t="s">
        <v>291</v>
      </c>
      <c r="C94" s="42" t="s">
        <v>289</v>
      </c>
      <c r="D94" s="43" t="s">
        <v>288</v>
      </c>
      <c r="E94" s="42"/>
      <c r="F94" s="44"/>
      <c r="G94" s="42"/>
      <c r="H94" s="42"/>
      <c r="I94" s="45"/>
    </row>
    <row r="95" spans="1:9" ht="20.25" thickBot="1">
      <c r="A95" s="56"/>
      <c r="B95" s="57"/>
      <c r="C95" s="57"/>
      <c r="D95" s="58"/>
      <c r="E95" s="57"/>
      <c r="F95" s="59" t="s">
        <v>290</v>
      </c>
      <c r="G95" s="57"/>
      <c r="H95" s="57"/>
      <c r="I95" s="60" t="s">
        <v>284</v>
      </c>
    </row>
    <row r="96" ht="21" thickBot="1" thickTop="1"/>
    <row r="97" spans="1:9" ht="20.25" thickTop="1">
      <c r="A97" s="36" t="s">
        <v>287</v>
      </c>
      <c r="B97" s="37" t="s">
        <v>286</v>
      </c>
      <c r="C97" s="37" t="s">
        <v>284</v>
      </c>
      <c r="D97" s="38" t="s">
        <v>285</v>
      </c>
      <c r="E97" s="37" t="s">
        <v>289</v>
      </c>
      <c r="F97" s="39" t="s">
        <v>283</v>
      </c>
      <c r="G97" s="37" t="s">
        <v>290</v>
      </c>
      <c r="H97" s="37" t="s">
        <v>288</v>
      </c>
      <c r="I97" s="40" t="s">
        <v>291</v>
      </c>
    </row>
    <row r="98" spans="1:9" ht="19.5">
      <c r="A98" s="41" t="s">
        <v>291</v>
      </c>
      <c r="B98" s="42" t="s">
        <v>285</v>
      </c>
      <c r="C98" s="42" t="s">
        <v>283</v>
      </c>
      <c r="D98" s="43" t="s">
        <v>287</v>
      </c>
      <c r="E98" s="42" t="s">
        <v>290</v>
      </c>
      <c r="F98" s="44" t="s">
        <v>288</v>
      </c>
      <c r="G98" s="42" t="s">
        <v>284</v>
      </c>
      <c r="H98" s="42" t="s">
        <v>289</v>
      </c>
      <c r="I98" s="45" t="s">
        <v>286</v>
      </c>
    </row>
    <row r="99" spans="1:9" ht="20.25" thickBot="1">
      <c r="A99" s="41" t="s">
        <v>288</v>
      </c>
      <c r="B99" s="42" t="s">
        <v>289</v>
      </c>
      <c r="C99" s="42" t="s">
        <v>290</v>
      </c>
      <c r="D99" s="43" t="s">
        <v>284</v>
      </c>
      <c r="E99" s="42" t="s">
        <v>291</v>
      </c>
      <c r="F99" s="44" t="s">
        <v>286</v>
      </c>
      <c r="G99" s="42" t="s">
        <v>285</v>
      </c>
      <c r="H99" s="42" t="s">
        <v>287</v>
      </c>
      <c r="I99" s="45" t="s">
        <v>283</v>
      </c>
    </row>
    <row r="100" spans="1:9" ht="20.25" thickTop="1">
      <c r="A100" s="46" t="s">
        <v>285</v>
      </c>
      <c r="B100" s="47" t="s">
        <v>288</v>
      </c>
      <c r="C100" s="47" t="s">
        <v>291</v>
      </c>
      <c r="D100" s="48" t="s">
        <v>286</v>
      </c>
      <c r="E100" s="47" t="s">
        <v>284</v>
      </c>
      <c r="F100" s="49" t="s">
        <v>289</v>
      </c>
      <c r="G100" s="47" t="s">
        <v>283</v>
      </c>
      <c r="H100" s="47" t="s">
        <v>290</v>
      </c>
      <c r="I100" s="50" t="s">
        <v>287</v>
      </c>
    </row>
    <row r="101" spans="1:9" ht="19.5">
      <c r="A101" s="41" t="s">
        <v>284</v>
      </c>
      <c r="B101" s="42" t="s">
        <v>290</v>
      </c>
      <c r="C101" s="42" t="s">
        <v>287</v>
      </c>
      <c r="D101" s="43" t="s">
        <v>283</v>
      </c>
      <c r="E101" s="42" t="s">
        <v>285</v>
      </c>
      <c r="F101" s="44" t="s">
        <v>291</v>
      </c>
      <c r="G101" s="42" t="s">
        <v>289</v>
      </c>
      <c r="H101" s="42" t="s">
        <v>286</v>
      </c>
      <c r="I101" s="45" t="s">
        <v>288</v>
      </c>
    </row>
    <row r="102" spans="1:9" ht="20.25" thickBot="1">
      <c r="A102" s="51" t="s">
        <v>289</v>
      </c>
      <c r="B102" s="52" t="s">
        <v>283</v>
      </c>
      <c r="C102" s="52" t="s">
        <v>286</v>
      </c>
      <c r="D102" s="53" t="s">
        <v>290</v>
      </c>
      <c r="E102" s="52" t="s">
        <v>288</v>
      </c>
      <c r="F102" s="54" t="s">
        <v>287</v>
      </c>
      <c r="G102" s="52" t="s">
        <v>291</v>
      </c>
      <c r="H102" s="52" t="s">
        <v>284</v>
      </c>
      <c r="I102" s="55" t="s">
        <v>285</v>
      </c>
    </row>
    <row r="103" spans="1:9" ht="20.25" thickTop="1">
      <c r="A103" s="41" t="s">
        <v>290</v>
      </c>
      <c r="B103" s="42" t="s">
        <v>284</v>
      </c>
      <c r="C103" s="42" t="s">
        <v>288</v>
      </c>
      <c r="D103" s="43" t="s">
        <v>291</v>
      </c>
      <c r="E103" s="42" t="s">
        <v>286</v>
      </c>
      <c r="F103" s="44" t="s">
        <v>285</v>
      </c>
      <c r="G103" s="42" t="s">
        <v>287</v>
      </c>
      <c r="H103" s="42" t="s">
        <v>283</v>
      </c>
      <c r="I103" s="45" t="s">
        <v>289</v>
      </c>
    </row>
    <row r="104" spans="1:9" ht="19.5">
      <c r="A104" s="41" t="s">
        <v>283</v>
      </c>
      <c r="B104" s="42" t="s">
        <v>291</v>
      </c>
      <c r="C104" s="42" t="s">
        <v>289</v>
      </c>
      <c r="D104" s="43" t="s">
        <v>288</v>
      </c>
      <c r="E104" s="42" t="s">
        <v>287</v>
      </c>
      <c r="F104" s="44" t="s">
        <v>284</v>
      </c>
      <c r="G104" s="42" t="s">
        <v>286</v>
      </c>
      <c r="H104" s="42" t="s">
        <v>285</v>
      </c>
      <c r="I104" s="45" t="s">
        <v>290</v>
      </c>
    </row>
    <row r="105" spans="1:9" ht="20.25" thickBot="1">
      <c r="A105" s="56" t="s">
        <v>286</v>
      </c>
      <c r="B105" s="57" t="s">
        <v>287</v>
      </c>
      <c r="C105" s="57" t="s">
        <v>285</v>
      </c>
      <c r="D105" s="58" t="s">
        <v>289</v>
      </c>
      <c r="E105" s="57" t="s">
        <v>283</v>
      </c>
      <c r="F105" s="59" t="s">
        <v>290</v>
      </c>
      <c r="G105" s="57" t="s">
        <v>288</v>
      </c>
      <c r="H105" s="57" t="s">
        <v>291</v>
      </c>
      <c r="I105" s="60" t="s">
        <v>284</v>
      </c>
    </row>
    <row r="106" ht="20.25" thickTop="1"/>
    <row r="108" ht="20.25" thickBot="1">
      <c r="A108" s="4" t="s">
        <v>293</v>
      </c>
    </row>
    <row r="109" spans="1:9" ht="20.25" thickTop="1">
      <c r="A109" s="36"/>
      <c r="B109" s="37"/>
      <c r="C109" s="37"/>
      <c r="D109" s="38" t="s">
        <v>291</v>
      </c>
      <c r="E109" s="37" t="s">
        <v>285</v>
      </c>
      <c r="F109" s="39"/>
      <c r="G109" s="37"/>
      <c r="H109" s="37"/>
      <c r="I109" s="40"/>
    </row>
    <row r="110" spans="1:9" ht="19.5">
      <c r="A110" s="41"/>
      <c r="B110" s="42" t="s">
        <v>286</v>
      </c>
      <c r="C110" s="42"/>
      <c r="D110" s="43" t="s">
        <v>283</v>
      </c>
      <c r="E110" s="42"/>
      <c r="F110" s="44" t="s">
        <v>290</v>
      </c>
      <c r="G110" s="42"/>
      <c r="H110" s="42"/>
      <c r="I110" s="45"/>
    </row>
    <row r="111" spans="1:9" ht="20.25" thickBot="1">
      <c r="A111" s="41"/>
      <c r="B111" s="42" t="s">
        <v>285</v>
      </c>
      <c r="C111" s="42" t="s">
        <v>291</v>
      </c>
      <c r="D111" s="43"/>
      <c r="E111" s="42"/>
      <c r="F111" s="44"/>
      <c r="G111" s="42" t="s">
        <v>283</v>
      </c>
      <c r="H111" s="42"/>
      <c r="I111" s="45"/>
    </row>
    <row r="112" spans="1:9" ht="20.25" thickTop="1">
      <c r="A112" s="46" t="s">
        <v>287</v>
      </c>
      <c r="B112" s="47" t="s">
        <v>290</v>
      </c>
      <c r="C112" s="47"/>
      <c r="D112" s="48"/>
      <c r="E112" s="47"/>
      <c r="F112" s="49" t="s">
        <v>284</v>
      </c>
      <c r="G112" s="47" t="s">
        <v>288</v>
      </c>
      <c r="H112" s="47"/>
      <c r="I112" s="50"/>
    </row>
    <row r="113" spans="1:9" ht="19.5">
      <c r="A113" s="41"/>
      <c r="B113" s="42" t="s">
        <v>283</v>
      </c>
      <c r="C113" s="42"/>
      <c r="D113" s="43"/>
      <c r="E113" s="42" t="s">
        <v>288</v>
      </c>
      <c r="F113" s="44"/>
      <c r="G113" s="42"/>
      <c r="H113" s="42" t="s">
        <v>290</v>
      </c>
      <c r="I113" s="45"/>
    </row>
    <row r="114" spans="1:9" ht="20.25" thickBot="1">
      <c r="A114" s="51"/>
      <c r="B114" s="52"/>
      <c r="C114" s="52" t="s">
        <v>285</v>
      </c>
      <c r="D114" s="53" t="s">
        <v>289</v>
      </c>
      <c r="E114" s="52"/>
      <c r="F114" s="54"/>
      <c r="G114" s="52"/>
      <c r="H114" s="52" t="s">
        <v>283</v>
      </c>
      <c r="I114" s="55" t="s">
        <v>287</v>
      </c>
    </row>
    <row r="115" spans="1:9" ht="20.25" thickTop="1">
      <c r="A115" s="41"/>
      <c r="B115" s="42"/>
      <c r="C115" s="42" t="s">
        <v>283</v>
      </c>
      <c r="D115" s="43"/>
      <c r="E115" s="42"/>
      <c r="F115" s="44"/>
      <c r="G115" s="42" t="s">
        <v>290</v>
      </c>
      <c r="H115" s="42" t="s">
        <v>291</v>
      </c>
      <c r="I115" s="45"/>
    </row>
    <row r="116" spans="1:9" ht="19.5">
      <c r="A116" s="41"/>
      <c r="B116" s="42"/>
      <c r="C116" s="42"/>
      <c r="D116" s="43" t="s">
        <v>285</v>
      </c>
      <c r="E116" s="42"/>
      <c r="F116" s="44" t="s">
        <v>283</v>
      </c>
      <c r="G116" s="42"/>
      <c r="H116" s="42" t="s">
        <v>288</v>
      </c>
      <c r="I116" s="45"/>
    </row>
    <row r="117" spans="1:9" ht="20.25" thickBot="1">
      <c r="A117" s="56"/>
      <c r="B117" s="57"/>
      <c r="C117" s="57"/>
      <c r="D117" s="58"/>
      <c r="E117" s="57" t="s">
        <v>289</v>
      </c>
      <c r="F117" s="59" t="s">
        <v>286</v>
      </c>
      <c r="G117" s="57"/>
      <c r="H117" s="57"/>
      <c r="I117" s="60"/>
    </row>
    <row r="118" ht="20.25" thickTop="1"/>
    <row r="120" ht="20.25" thickBot="1">
      <c r="A120" s="4" t="s">
        <v>294</v>
      </c>
    </row>
    <row r="121" spans="1:9" ht="20.25" thickTop="1">
      <c r="A121" s="36" t="s">
        <v>288</v>
      </c>
      <c r="B121" s="37"/>
      <c r="C121" s="37"/>
      <c r="D121" s="38"/>
      <c r="E121" s="37" t="s">
        <v>287</v>
      </c>
      <c r="F121" s="39"/>
      <c r="G121" s="37"/>
      <c r="H121" s="37"/>
      <c r="I121" s="40"/>
    </row>
    <row r="122" spans="1:9" ht="19.5">
      <c r="A122" s="41"/>
      <c r="B122" s="42"/>
      <c r="C122" s="42"/>
      <c r="D122" s="43"/>
      <c r="E122" s="42" t="s">
        <v>284</v>
      </c>
      <c r="F122" s="44" t="s">
        <v>289</v>
      </c>
      <c r="G122" s="42"/>
      <c r="H122" s="42" t="s">
        <v>290</v>
      </c>
      <c r="I122" s="45" t="s">
        <v>283</v>
      </c>
    </row>
    <row r="123" spans="1:9" ht="20.25" thickBot="1">
      <c r="A123" s="41"/>
      <c r="B123" s="42" t="s">
        <v>290</v>
      </c>
      <c r="C123" s="42"/>
      <c r="D123" s="43"/>
      <c r="E123" s="42"/>
      <c r="F123" s="44"/>
      <c r="G123" s="42" t="s">
        <v>286</v>
      </c>
      <c r="H123" s="42" t="s">
        <v>287</v>
      </c>
      <c r="I123" s="45"/>
    </row>
    <row r="124" spans="1:9" ht="20.25" thickTop="1">
      <c r="A124" s="46" t="s">
        <v>283</v>
      </c>
      <c r="B124" s="47"/>
      <c r="C124" s="47"/>
      <c r="D124" s="48"/>
      <c r="E124" s="47"/>
      <c r="F124" s="49" t="s">
        <v>290</v>
      </c>
      <c r="G124" s="47"/>
      <c r="H124" s="47" t="s">
        <v>289</v>
      </c>
      <c r="I124" s="50"/>
    </row>
    <row r="125" spans="1:9" ht="19.5">
      <c r="A125" s="41"/>
      <c r="B125" s="42"/>
      <c r="C125" s="42"/>
      <c r="D125" s="43" t="s">
        <v>283</v>
      </c>
      <c r="E125" s="42"/>
      <c r="F125" s="44" t="s">
        <v>287</v>
      </c>
      <c r="G125" s="42"/>
      <c r="H125" s="42"/>
      <c r="I125" s="45"/>
    </row>
    <row r="126" spans="1:9" ht="20.25" thickBot="1">
      <c r="A126" s="51"/>
      <c r="B126" s="52" t="s">
        <v>287</v>
      </c>
      <c r="C126" s="52"/>
      <c r="D126" s="53" t="s">
        <v>288</v>
      </c>
      <c r="E126" s="52"/>
      <c r="F126" s="54"/>
      <c r="G126" s="52"/>
      <c r="H126" s="52"/>
      <c r="I126" s="55" t="s">
        <v>291</v>
      </c>
    </row>
    <row r="127" spans="1:9" ht="20.25" thickTop="1">
      <c r="A127" s="41"/>
      <c r="B127" s="42" t="s">
        <v>285</v>
      </c>
      <c r="C127" s="42" t="s">
        <v>283</v>
      </c>
      <c r="D127" s="43"/>
      <c r="E127" s="42"/>
      <c r="F127" s="44"/>
      <c r="G127" s="42"/>
      <c r="H127" s="42" t="s">
        <v>284</v>
      </c>
      <c r="I127" s="45"/>
    </row>
    <row r="128" spans="1:9" ht="19.5">
      <c r="A128" s="41" t="s">
        <v>286</v>
      </c>
      <c r="B128" s="42" t="s">
        <v>291</v>
      </c>
      <c r="C128" s="42"/>
      <c r="D128" s="43" t="s">
        <v>289</v>
      </c>
      <c r="E128" s="42" t="s">
        <v>290</v>
      </c>
      <c r="F128" s="44"/>
      <c r="G128" s="42"/>
      <c r="H128" s="42"/>
      <c r="I128" s="45"/>
    </row>
    <row r="129" spans="1:9" ht="20.25" thickBot="1">
      <c r="A129" s="56"/>
      <c r="B129" s="57"/>
      <c r="C129" s="57"/>
      <c r="D129" s="58"/>
      <c r="E129" s="57" t="s">
        <v>283</v>
      </c>
      <c r="F129" s="59"/>
      <c r="G129" s="57"/>
      <c r="H129" s="57"/>
      <c r="I129" s="60" t="s">
        <v>289</v>
      </c>
    </row>
    <row r="130" ht="20.25" thickTop="1"/>
    <row r="132" ht="20.25" thickBot="1">
      <c r="A132" s="4" t="s">
        <v>0</v>
      </c>
    </row>
    <row r="133" spans="1:9" ht="20.25" thickTop="1">
      <c r="A133" s="36" t="s">
        <v>285</v>
      </c>
      <c r="B133" s="37" t="s">
        <v>283</v>
      </c>
      <c r="C133" s="37"/>
      <c r="D133" s="38"/>
      <c r="E133" s="37" t="s">
        <v>290</v>
      </c>
      <c r="F133" s="39"/>
      <c r="G133" s="37"/>
      <c r="H133" s="37"/>
      <c r="I133" s="40" t="s">
        <v>291</v>
      </c>
    </row>
    <row r="134" spans="1:9" ht="19.5">
      <c r="A134" s="41"/>
      <c r="B134" s="42"/>
      <c r="C134" s="42"/>
      <c r="D134" s="43" t="s">
        <v>291</v>
      </c>
      <c r="E134" s="42"/>
      <c r="F134" s="44"/>
      <c r="G134" s="42" t="s">
        <v>284</v>
      </c>
      <c r="H134" s="42" t="s">
        <v>289</v>
      </c>
      <c r="I134" s="45"/>
    </row>
    <row r="135" spans="1:9" ht="20.25" thickBot="1">
      <c r="A135" s="41" t="s">
        <v>289</v>
      </c>
      <c r="B135" s="42"/>
      <c r="C135" s="42"/>
      <c r="D135" s="43" t="s">
        <v>283</v>
      </c>
      <c r="E135" s="42" t="s">
        <v>288</v>
      </c>
      <c r="F135" s="44"/>
      <c r="G135" s="42"/>
      <c r="H135" s="42"/>
      <c r="I135" s="45"/>
    </row>
    <row r="136" spans="1:9" ht="20.25" thickTop="1">
      <c r="A136" s="46"/>
      <c r="B136" s="47"/>
      <c r="C136" s="47"/>
      <c r="D136" s="48"/>
      <c r="E136" s="47"/>
      <c r="F136" s="49"/>
      <c r="G136" s="47"/>
      <c r="H136" s="47" t="s">
        <v>291</v>
      </c>
      <c r="I136" s="50" t="s">
        <v>286</v>
      </c>
    </row>
    <row r="137" spans="1:9" ht="19.5">
      <c r="A137" s="41"/>
      <c r="B137" s="42"/>
      <c r="C137" s="42" t="s">
        <v>289</v>
      </c>
      <c r="D137" s="43"/>
      <c r="E137" s="42"/>
      <c r="F137" s="44"/>
      <c r="G137" s="42" t="s">
        <v>290</v>
      </c>
      <c r="H137" s="42"/>
      <c r="I137" s="45"/>
    </row>
    <row r="138" spans="1:9" ht="20.25" thickBot="1">
      <c r="A138" s="51" t="s">
        <v>287</v>
      </c>
      <c r="B138" s="52" t="s">
        <v>291</v>
      </c>
      <c r="C138" s="52"/>
      <c r="D138" s="53"/>
      <c r="E138" s="52"/>
      <c r="F138" s="54"/>
      <c r="G138" s="52"/>
      <c r="H138" s="52"/>
      <c r="I138" s="55"/>
    </row>
    <row r="139" spans="1:9" ht="20.25" thickTop="1">
      <c r="A139" s="41"/>
      <c r="B139" s="42"/>
      <c r="C139" s="42"/>
      <c r="D139" s="43"/>
      <c r="E139" s="42" t="s">
        <v>284</v>
      </c>
      <c r="F139" s="44" t="s">
        <v>283</v>
      </c>
      <c r="G139" s="42"/>
      <c r="H139" s="42"/>
      <c r="I139" s="45" t="s">
        <v>290</v>
      </c>
    </row>
    <row r="140" spans="1:9" ht="19.5">
      <c r="A140" s="41"/>
      <c r="B140" s="42" t="s">
        <v>285</v>
      </c>
      <c r="C140" s="42" t="s">
        <v>290</v>
      </c>
      <c r="D140" s="43"/>
      <c r="E140" s="42"/>
      <c r="F140" s="44" t="s">
        <v>288</v>
      </c>
      <c r="G140" s="42"/>
      <c r="H140" s="42"/>
      <c r="I140" s="45"/>
    </row>
    <row r="141" spans="1:9" ht="20.25" thickBot="1">
      <c r="A141" s="56" t="s">
        <v>286</v>
      </c>
      <c r="B141" s="57"/>
      <c r="C141" s="57"/>
      <c r="D141" s="58"/>
      <c r="E141" s="57" t="s">
        <v>289</v>
      </c>
      <c r="F141" s="59"/>
      <c r="G141" s="57"/>
      <c r="H141" s="57" t="s">
        <v>287</v>
      </c>
      <c r="I141" s="60" t="s">
        <v>285</v>
      </c>
    </row>
    <row r="142" ht="20.25" thickTop="1"/>
    <row r="143" ht="20.25" thickBot="1"/>
    <row r="144" spans="1:9" ht="20.25" thickTop="1">
      <c r="A144" s="36"/>
      <c r="B144" s="37"/>
      <c r="C144" s="37"/>
      <c r="D144" s="38"/>
      <c r="E144" s="37" t="s">
        <v>287</v>
      </c>
      <c r="F144" s="39" t="s">
        <v>291</v>
      </c>
      <c r="G144" s="37"/>
      <c r="H144" s="37"/>
      <c r="I144" s="40" t="s">
        <v>285</v>
      </c>
    </row>
    <row r="145" spans="1:9" ht="19.5">
      <c r="A145" s="41"/>
      <c r="B145" s="42"/>
      <c r="C145" s="42" t="s">
        <v>286</v>
      </c>
      <c r="D145" s="43"/>
      <c r="E145" s="42"/>
      <c r="F145" s="44"/>
      <c r="G145" s="42" t="s">
        <v>290</v>
      </c>
      <c r="H145" s="42" t="s">
        <v>288</v>
      </c>
      <c r="I145" s="45"/>
    </row>
    <row r="146" spans="1:9" ht="20.25" thickBot="1">
      <c r="A146" s="41" t="s">
        <v>287</v>
      </c>
      <c r="B146" s="42"/>
      <c r="C146" s="42"/>
      <c r="D146" s="43" t="s">
        <v>288</v>
      </c>
      <c r="E146" s="42" t="s">
        <v>283</v>
      </c>
      <c r="F146" s="44"/>
      <c r="G146" s="42" t="s">
        <v>284</v>
      </c>
      <c r="H146" s="42"/>
      <c r="I146" s="45"/>
    </row>
    <row r="147" spans="1:9" ht="20.25" thickTop="1">
      <c r="A147" s="46" t="s">
        <v>288</v>
      </c>
      <c r="B147" s="47"/>
      <c r="C147" s="47" t="s">
        <v>285</v>
      </c>
      <c r="D147" s="48"/>
      <c r="E147" s="47"/>
      <c r="F147" s="49"/>
      <c r="G147" s="47"/>
      <c r="H147" s="47" t="s">
        <v>284</v>
      </c>
      <c r="I147" s="50" t="s">
        <v>283</v>
      </c>
    </row>
    <row r="148" spans="1:9" ht="19.5">
      <c r="A148" s="41"/>
      <c r="B148" s="42"/>
      <c r="C148" s="42"/>
      <c r="D148" s="43"/>
      <c r="E148" s="42"/>
      <c r="F148" s="44"/>
      <c r="G148" s="42"/>
      <c r="H148" s="42"/>
      <c r="I148" s="45"/>
    </row>
    <row r="149" spans="1:9" ht="20.25" thickBot="1">
      <c r="A149" s="51" t="s">
        <v>284</v>
      </c>
      <c r="B149" s="52" t="s">
        <v>290</v>
      </c>
      <c r="C149" s="52"/>
      <c r="D149" s="53"/>
      <c r="E149" s="52"/>
      <c r="F149" s="54"/>
      <c r="G149" s="52" t="s">
        <v>286</v>
      </c>
      <c r="H149" s="52"/>
      <c r="I149" s="55" t="s">
        <v>288</v>
      </c>
    </row>
    <row r="150" spans="1:9" ht="20.25" thickTop="1">
      <c r="A150" s="41"/>
      <c r="B150" s="42"/>
      <c r="C150" s="42"/>
      <c r="D150" s="43"/>
      <c r="E150" s="42" t="s">
        <v>290</v>
      </c>
      <c r="F150" s="44" t="s">
        <v>283</v>
      </c>
      <c r="G150" s="42"/>
      <c r="H150" s="42"/>
      <c r="I150" s="45" t="s">
        <v>289</v>
      </c>
    </row>
    <row r="151" spans="1:9" ht="19.5">
      <c r="A151" s="41"/>
      <c r="B151" s="42" t="s">
        <v>287</v>
      </c>
      <c r="C151" s="42" t="s">
        <v>290</v>
      </c>
      <c r="D151" s="43"/>
      <c r="E151" s="42"/>
      <c r="F151" s="44"/>
      <c r="G151" s="42" t="s">
        <v>283</v>
      </c>
      <c r="H151" s="42"/>
      <c r="I151" s="45"/>
    </row>
    <row r="152" spans="1:9" ht="20.25" thickBot="1">
      <c r="A152" s="56" t="s">
        <v>283</v>
      </c>
      <c r="B152" s="57"/>
      <c r="C152" s="57"/>
      <c r="D152" s="58" t="s">
        <v>289</v>
      </c>
      <c r="E152" s="57" t="s">
        <v>291</v>
      </c>
      <c r="F152" s="59"/>
      <c r="G152" s="57"/>
      <c r="H152" s="57"/>
      <c r="I152" s="60"/>
    </row>
    <row r="153" ht="20.25" thickTop="1"/>
    <row r="154" ht="20.25" thickBot="1">
      <c r="A154" s="4" t="s">
        <v>1</v>
      </c>
    </row>
    <row r="155" spans="1:9" ht="20.25" thickTop="1">
      <c r="A155" s="36"/>
      <c r="B155" s="37"/>
      <c r="C155" s="37"/>
      <c r="D155" s="38"/>
      <c r="E155" s="37"/>
      <c r="F155" s="39"/>
      <c r="G155" s="37"/>
      <c r="H155" s="37"/>
      <c r="I155" s="40"/>
    </row>
    <row r="156" spans="1:9" ht="19.5">
      <c r="A156" s="41"/>
      <c r="B156" s="42" t="s">
        <v>290</v>
      </c>
      <c r="C156" s="42"/>
      <c r="D156" s="43"/>
      <c r="E156" s="42" t="s">
        <v>286</v>
      </c>
      <c r="F156" s="44"/>
      <c r="G156" s="42" t="s">
        <v>291</v>
      </c>
      <c r="H156" s="42" t="s">
        <v>287</v>
      </c>
      <c r="I156" s="45" t="s">
        <v>283</v>
      </c>
    </row>
    <row r="157" spans="1:9" ht="20.25" thickBot="1">
      <c r="A157" s="41" t="s">
        <v>287</v>
      </c>
      <c r="B157" s="42"/>
      <c r="C157" s="42" t="s">
        <v>286</v>
      </c>
      <c r="D157" s="43"/>
      <c r="E157" s="42" t="s">
        <v>290</v>
      </c>
      <c r="F157" s="44" t="s">
        <v>284</v>
      </c>
      <c r="G157" s="42" t="s">
        <v>285</v>
      </c>
      <c r="H157" s="42"/>
      <c r="I157" s="45"/>
    </row>
    <row r="158" spans="1:9" ht="20.25" thickTop="1">
      <c r="A158" s="46"/>
      <c r="B158" s="47"/>
      <c r="C158" s="47" t="s">
        <v>290</v>
      </c>
      <c r="D158" s="48"/>
      <c r="E158" s="47"/>
      <c r="F158" s="49" t="s">
        <v>285</v>
      </c>
      <c r="G158" s="47"/>
      <c r="H158" s="47"/>
      <c r="I158" s="50"/>
    </row>
    <row r="159" spans="1:9" ht="19.5">
      <c r="A159" s="41"/>
      <c r="B159" s="42" t="s">
        <v>285</v>
      </c>
      <c r="C159" s="42"/>
      <c r="D159" s="43"/>
      <c r="E159" s="42" t="s">
        <v>284</v>
      </c>
      <c r="F159" s="44"/>
      <c r="G159" s="42"/>
      <c r="H159" s="42" t="s">
        <v>283</v>
      </c>
      <c r="I159" s="45"/>
    </row>
    <row r="160" spans="1:9" ht="20.25" thickBot="1">
      <c r="A160" s="51"/>
      <c r="B160" s="52"/>
      <c r="C160" s="52"/>
      <c r="D160" s="53" t="s">
        <v>290</v>
      </c>
      <c r="E160" s="52"/>
      <c r="F160" s="54"/>
      <c r="G160" s="52" t="s">
        <v>287</v>
      </c>
      <c r="H160" s="52"/>
      <c r="I160" s="55"/>
    </row>
    <row r="161" spans="1:9" ht="20.25" thickTop="1">
      <c r="A161" s="41"/>
      <c r="B161" s="42"/>
      <c r="C161" s="42" t="s">
        <v>291</v>
      </c>
      <c r="D161" s="43" t="s">
        <v>286</v>
      </c>
      <c r="E161" s="42" t="s">
        <v>283</v>
      </c>
      <c r="F161" s="44"/>
      <c r="G161" s="42" t="s">
        <v>284</v>
      </c>
      <c r="H161" s="42"/>
      <c r="I161" s="45" t="s">
        <v>289</v>
      </c>
    </row>
    <row r="162" spans="1:9" ht="19.5">
      <c r="A162" s="41" t="s">
        <v>286</v>
      </c>
      <c r="B162" s="42" t="s">
        <v>283</v>
      </c>
      <c r="C162" s="42" t="s">
        <v>284</v>
      </c>
      <c r="D162" s="43"/>
      <c r="E162" s="42" t="s">
        <v>289</v>
      </c>
      <c r="F162" s="44"/>
      <c r="G162" s="42"/>
      <c r="H162" s="42" t="s">
        <v>290</v>
      </c>
      <c r="I162" s="45"/>
    </row>
    <row r="163" spans="1:9" ht="20.25" thickBot="1">
      <c r="A163" s="56"/>
      <c r="B163" s="57"/>
      <c r="C163" s="57"/>
      <c r="D163" s="58"/>
      <c r="E163" s="57"/>
      <c r="F163" s="59"/>
      <c r="G163" s="57"/>
      <c r="H163" s="57"/>
      <c r="I163" s="60"/>
    </row>
    <row r="164" ht="20.25" thickTop="1"/>
    <row r="165" ht="20.25" thickBot="1">
      <c r="A165" s="4" t="s">
        <v>2</v>
      </c>
    </row>
    <row r="166" spans="1:9" ht="20.25" thickTop="1">
      <c r="A166" s="36" t="s">
        <v>287</v>
      </c>
      <c r="B166" s="37"/>
      <c r="C166" s="37"/>
      <c r="D166" s="38"/>
      <c r="E166" s="37"/>
      <c r="F166" s="39" t="s">
        <v>289</v>
      </c>
      <c r="G166" s="37"/>
      <c r="H166" s="37"/>
      <c r="I166" s="40"/>
    </row>
    <row r="167" spans="1:9" ht="19.5">
      <c r="A167" s="41" t="s">
        <v>283</v>
      </c>
      <c r="B167" s="42" t="s">
        <v>290</v>
      </c>
      <c r="C167" s="42"/>
      <c r="D167" s="43"/>
      <c r="E167" s="42" t="s">
        <v>287</v>
      </c>
      <c r="F167" s="44"/>
      <c r="G167" s="42"/>
      <c r="H167" s="42" t="s">
        <v>285</v>
      </c>
      <c r="I167" s="45" t="s">
        <v>288</v>
      </c>
    </row>
    <row r="168" spans="1:9" ht="20.25" thickBot="1">
      <c r="A168" s="41"/>
      <c r="B168" s="42"/>
      <c r="C168" s="42"/>
      <c r="D168" s="43"/>
      <c r="E168" s="42" t="s">
        <v>288</v>
      </c>
      <c r="F168" s="44"/>
      <c r="G168" s="42" t="s">
        <v>283</v>
      </c>
      <c r="H168" s="42"/>
      <c r="I168" s="45"/>
    </row>
    <row r="169" spans="1:9" ht="20.25" thickTop="1">
      <c r="A169" s="46"/>
      <c r="B169" s="47"/>
      <c r="C169" s="47" t="s">
        <v>290</v>
      </c>
      <c r="D169" s="48"/>
      <c r="E169" s="47"/>
      <c r="F169" s="49"/>
      <c r="G169" s="47"/>
      <c r="H169" s="47" t="s">
        <v>288</v>
      </c>
      <c r="I169" s="50" t="s">
        <v>283</v>
      </c>
    </row>
    <row r="170" spans="1:9" ht="19.5">
      <c r="A170" s="41"/>
      <c r="B170" s="42"/>
      <c r="C170" s="42" t="s">
        <v>289</v>
      </c>
      <c r="D170" s="43" t="s">
        <v>286</v>
      </c>
      <c r="E170" s="42"/>
      <c r="F170" s="44" t="s">
        <v>290</v>
      </c>
      <c r="G170" s="42" t="s">
        <v>284</v>
      </c>
      <c r="H170" s="42"/>
      <c r="I170" s="45"/>
    </row>
    <row r="171" spans="1:9" ht="20.25" thickBot="1">
      <c r="A171" s="51" t="s">
        <v>285</v>
      </c>
      <c r="B171" s="52" t="s">
        <v>287</v>
      </c>
      <c r="C171" s="52"/>
      <c r="D171" s="53"/>
      <c r="E171" s="52"/>
      <c r="F171" s="54"/>
      <c r="G171" s="52" t="s">
        <v>290</v>
      </c>
      <c r="H171" s="52"/>
      <c r="I171" s="55"/>
    </row>
    <row r="172" spans="1:9" ht="20.25" thickTop="1">
      <c r="A172" s="41"/>
      <c r="B172" s="42"/>
      <c r="C172" s="42" t="s">
        <v>285</v>
      </c>
      <c r="D172" s="43"/>
      <c r="E172" s="42" t="s">
        <v>286</v>
      </c>
      <c r="F172" s="44"/>
      <c r="G172" s="42"/>
      <c r="H172" s="42"/>
      <c r="I172" s="45"/>
    </row>
    <row r="173" spans="1:9" ht="19.5">
      <c r="A173" s="41" t="s">
        <v>284</v>
      </c>
      <c r="B173" s="42" t="s">
        <v>289</v>
      </c>
      <c r="C173" s="42"/>
      <c r="D173" s="43"/>
      <c r="E173" s="42" t="s">
        <v>290</v>
      </c>
      <c r="F173" s="44"/>
      <c r="G173" s="42"/>
      <c r="H173" s="42" t="s">
        <v>283</v>
      </c>
      <c r="I173" s="45"/>
    </row>
    <row r="174" spans="1:9" ht="20.25" thickBot="1">
      <c r="A174" s="56"/>
      <c r="B174" s="57"/>
      <c r="C174" s="57"/>
      <c r="D174" s="58" t="s">
        <v>291</v>
      </c>
      <c r="E174" s="57"/>
      <c r="F174" s="59"/>
      <c r="G174" s="57"/>
      <c r="H174" s="57"/>
      <c r="I174" s="60"/>
    </row>
    <row r="175" ht="20.25" thickTop="1"/>
    <row r="177" ht="20.25" thickBot="1">
      <c r="A177" s="4" t="s">
        <v>297</v>
      </c>
    </row>
    <row r="178" spans="1:39" ht="20.25" thickTop="1">
      <c r="A178" s="36">
        <v>2</v>
      </c>
      <c r="B178" s="37"/>
      <c r="C178" s="37">
        <v>3</v>
      </c>
      <c r="D178" s="38"/>
      <c r="E178" s="37"/>
      <c r="F178" s="39"/>
      <c r="G178" s="37"/>
      <c r="H178" s="37"/>
      <c r="I178" s="40"/>
      <c r="AE178" s="36">
        <v>2</v>
      </c>
      <c r="AF178" s="37" t="s">
        <v>285</v>
      </c>
      <c r="AG178" s="37">
        <v>3</v>
      </c>
      <c r="AH178" s="38" t="s">
        <v>284</v>
      </c>
      <c r="AI178" s="37" t="s">
        <v>291</v>
      </c>
      <c r="AJ178" s="39" t="s">
        <v>290</v>
      </c>
      <c r="AK178" s="37" t="s">
        <v>289</v>
      </c>
      <c r="AL178" s="37" t="s">
        <v>288</v>
      </c>
      <c r="AM178" s="40" t="s">
        <v>283</v>
      </c>
    </row>
    <row r="179" spans="1:39" ht="19.5">
      <c r="A179" s="41">
        <v>4</v>
      </c>
      <c r="B179" s="42">
        <v>1</v>
      </c>
      <c r="C179" s="42"/>
      <c r="D179" s="43"/>
      <c r="E179" s="42">
        <v>9</v>
      </c>
      <c r="F179" s="44"/>
      <c r="G179" s="42"/>
      <c r="H179" s="42">
        <v>6</v>
      </c>
      <c r="I179" s="45"/>
      <c r="AE179" s="41">
        <v>4</v>
      </c>
      <c r="AF179" s="42">
        <v>1</v>
      </c>
      <c r="AG179" s="42" t="s">
        <v>288</v>
      </c>
      <c r="AH179" s="43" t="s">
        <v>287</v>
      </c>
      <c r="AI179" s="42">
        <v>9</v>
      </c>
      <c r="AJ179" s="44" t="s">
        <v>285</v>
      </c>
      <c r="AK179" s="42" t="s">
        <v>286</v>
      </c>
      <c r="AL179" s="42">
        <v>6</v>
      </c>
      <c r="AM179" s="45" t="s">
        <v>284</v>
      </c>
    </row>
    <row r="180" spans="1:39" ht="20.25" thickBot="1">
      <c r="A180" s="41"/>
      <c r="B180" s="42">
        <v>6</v>
      </c>
      <c r="C180" s="42"/>
      <c r="D180" s="43">
        <v>4</v>
      </c>
      <c r="E180" s="42"/>
      <c r="F180" s="44">
        <v>3</v>
      </c>
      <c r="G180" s="42"/>
      <c r="H180" s="42"/>
      <c r="I180" s="45"/>
      <c r="AE180" s="41" t="s">
        <v>284</v>
      </c>
      <c r="AF180" s="42">
        <v>6</v>
      </c>
      <c r="AG180" s="42" t="s">
        <v>289</v>
      </c>
      <c r="AH180" s="43">
        <v>4</v>
      </c>
      <c r="AI180" s="42" t="s">
        <v>288</v>
      </c>
      <c r="AJ180" s="44">
        <v>3</v>
      </c>
      <c r="AK180" s="42" t="s">
        <v>285</v>
      </c>
      <c r="AL180" s="42" t="s">
        <v>287</v>
      </c>
      <c r="AM180" s="45" t="s">
        <v>291</v>
      </c>
    </row>
    <row r="181" spans="1:39" ht="20.25" thickTop="1">
      <c r="A181" s="46"/>
      <c r="B181" s="47">
        <v>9</v>
      </c>
      <c r="C181" s="47"/>
      <c r="D181" s="48">
        <v>1</v>
      </c>
      <c r="E181" s="47"/>
      <c r="F181" s="49"/>
      <c r="G181" s="47"/>
      <c r="H181" s="47"/>
      <c r="I181" s="50"/>
      <c r="AE181" s="46" t="s">
        <v>286</v>
      </c>
      <c r="AF181" s="47">
        <v>9</v>
      </c>
      <c r="AG181" s="47" t="s">
        <v>287</v>
      </c>
      <c r="AH181" s="48">
        <v>1</v>
      </c>
      <c r="AI181" s="47" t="s">
        <v>284</v>
      </c>
      <c r="AJ181" s="49" t="s">
        <v>288</v>
      </c>
      <c r="AK181" s="47" t="s">
        <v>283</v>
      </c>
      <c r="AL181" s="47" t="s">
        <v>285</v>
      </c>
      <c r="AM181" s="50" t="s">
        <v>290</v>
      </c>
    </row>
    <row r="182" spans="1:39" ht="19.5">
      <c r="A182" s="41">
        <v>6</v>
      </c>
      <c r="B182" s="42">
        <v>5</v>
      </c>
      <c r="C182" s="42"/>
      <c r="D182" s="43"/>
      <c r="E182" s="42"/>
      <c r="F182" s="44"/>
      <c r="G182" s="42"/>
      <c r="H182" s="42">
        <v>3</v>
      </c>
      <c r="I182" s="45">
        <v>7</v>
      </c>
      <c r="AE182" s="41">
        <v>6</v>
      </c>
      <c r="AF182" s="42">
        <v>5</v>
      </c>
      <c r="AG182" s="42" t="s">
        <v>291</v>
      </c>
      <c r="AH182" s="43" t="s">
        <v>289</v>
      </c>
      <c r="AI182" s="42" t="s">
        <v>285</v>
      </c>
      <c r="AJ182" s="44" t="s">
        <v>283</v>
      </c>
      <c r="AK182" s="42" t="s">
        <v>287</v>
      </c>
      <c r="AL182" s="42">
        <v>3</v>
      </c>
      <c r="AM182" s="45">
        <v>7</v>
      </c>
    </row>
    <row r="183" spans="1:39" ht="20.25" thickBot="1">
      <c r="A183" s="51"/>
      <c r="B183" s="52"/>
      <c r="C183" s="52"/>
      <c r="D183" s="53"/>
      <c r="E183" s="52"/>
      <c r="F183" s="54">
        <v>2</v>
      </c>
      <c r="G183" s="52"/>
      <c r="H183" s="52">
        <v>1</v>
      </c>
      <c r="I183" s="55"/>
      <c r="AE183" s="51" t="s">
        <v>288</v>
      </c>
      <c r="AF183" s="52" t="s">
        <v>283</v>
      </c>
      <c r="AG183" s="52" t="s">
        <v>285</v>
      </c>
      <c r="AH183" s="53" t="s">
        <v>290</v>
      </c>
      <c r="AI183" s="52" t="s">
        <v>286</v>
      </c>
      <c r="AJ183" s="54">
        <v>2</v>
      </c>
      <c r="AK183" s="52" t="s">
        <v>284</v>
      </c>
      <c r="AL183" s="52">
        <v>1</v>
      </c>
      <c r="AM183" s="55" t="s">
        <v>289</v>
      </c>
    </row>
    <row r="184" spans="1:39" ht="20.25" thickTop="1">
      <c r="A184" s="41"/>
      <c r="B184" s="42"/>
      <c r="C184" s="42"/>
      <c r="D184" s="43">
        <v>8</v>
      </c>
      <c r="E184" s="42"/>
      <c r="F184" s="44">
        <v>5</v>
      </c>
      <c r="G184" s="42"/>
      <c r="H184" s="42">
        <v>9</v>
      </c>
      <c r="I184" s="45"/>
      <c r="AE184" s="41" t="s">
        <v>291</v>
      </c>
      <c r="AF184" s="42" t="s">
        <v>286</v>
      </c>
      <c r="AG184" s="42" t="s">
        <v>290</v>
      </c>
      <c r="AH184" s="43">
        <v>8</v>
      </c>
      <c r="AI184" s="42" t="s">
        <v>283</v>
      </c>
      <c r="AJ184" s="44">
        <v>5</v>
      </c>
      <c r="AK184" s="42" t="s">
        <v>288</v>
      </c>
      <c r="AL184" s="42">
        <v>9</v>
      </c>
      <c r="AM184" s="45" t="s">
        <v>287</v>
      </c>
    </row>
    <row r="185" spans="1:39" ht="19.5">
      <c r="A185" s="41"/>
      <c r="B185" s="42">
        <v>7</v>
      </c>
      <c r="C185" s="42"/>
      <c r="D185" s="43"/>
      <c r="E185" s="42">
        <v>2</v>
      </c>
      <c r="F185" s="44"/>
      <c r="G185" s="42"/>
      <c r="H185" s="42">
        <v>5</v>
      </c>
      <c r="I185" s="45">
        <v>8</v>
      </c>
      <c r="AE185" s="41" t="s">
        <v>289</v>
      </c>
      <c r="AF185" s="42">
        <v>7</v>
      </c>
      <c r="AG185" s="42" t="s">
        <v>283</v>
      </c>
      <c r="AH185" s="43" t="s">
        <v>286</v>
      </c>
      <c r="AI185" s="42">
        <v>2</v>
      </c>
      <c r="AJ185" s="44" t="s">
        <v>291</v>
      </c>
      <c r="AK185" s="42" t="s">
        <v>290</v>
      </c>
      <c r="AL185" s="42">
        <v>5</v>
      </c>
      <c r="AM185" s="45">
        <v>8</v>
      </c>
    </row>
    <row r="186" spans="1:39" ht="20.25" thickBot="1">
      <c r="A186" s="56"/>
      <c r="B186" s="57"/>
      <c r="C186" s="57"/>
      <c r="D186" s="58"/>
      <c r="E186" s="57"/>
      <c r="F186" s="59"/>
      <c r="G186" s="57" t="s">
        <v>291</v>
      </c>
      <c r="H186" s="57"/>
      <c r="I186" s="60">
        <v>3</v>
      </c>
      <c r="AE186" s="56" t="s">
        <v>285</v>
      </c>
      <c r="AF186" s="57" t="s">
        <v>287</v>
      </c>
      <c r="AG186" s="57" t="s">
        <v>284</v>
      </c>
      <c r="AH186" s="58" t="s">
        <v>288</v>
      </c>
      <c r="AI186" s="57" t="s">
        <v>290</v>
      </c>
      <c r="AJ186" s="59" t="s">
        <v>289</v>
      </c>
      <c r="AK186" s="57" t="s">
        <v>291</v>
      </c>
      <c r="AL186" s="57" t="s">
        <v>283</v>
      </c>
      <c r="AM186" s="60">
        <v>3</v>
      </c>
    </row>
    <row r="187" ht="20.25" thickTop="1"/>
  </sheetData>
  <printOptions/>
  <pageMargins left="0.75" right="0.75" top="1" bottom="1" header="0.5" footer="0.5"/>
  <pageSetup horizontalDpi="600" verticalDpi="600" orientation="portrait" scale="30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5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61" bestFit="1" customWidth="1"/>
    <col min="8" max="8" width="9.140625" style="61" customWidth="1"/>
  </cols>
  <sheetData>
    <row r="1" spans="1:8" ht="19.5">
      <c r="A1" s="61" t="s">
        <v>98</v>
      </c>
      <c r="H1" s="61" t="s">
        <v>52</v>
      </c>
    </row>
    <row r="2" ht="19.5">
      <c r="A2" s="61" t="s">
        <v>50</v>
      </c>
    </row>
    <row r="3" ht="19.5">
      <c r="A3" s="62" t="s">
        <v>51</v>
      </c>
    </row>
    <row r="5" spans="1:8" ht="19.5">
      <c r="A5" s="61" t="s">
        <v>102</v>
      </c>
      <c r="H5" s="61" t="s">
        <v>55</v>
      </c>
    </row>
    <row r="6" ht="19.5">
      <c r="A6" s="61" t="s">
        <v>53</v>
      </c>
    </row>
    <row r="7" ht="19.5">
      <c r="A7" s="62" t="s">
        <v>54</v>
      </c>
    </row>
    <row r="10" spans="1:8" ht="19.5">
      <c r="A10" s="61" t="s">
        <v>295</v>
      </c>
      <c r="H10" s="61" t="s">
        <v>296</v>
      </c>
    </row>
    <row r="11" ht="19.5">
      <c r="A11" s="64" t="s">
        <v>3</v>
      </c>
    </row>
    <row r="12" ht="19.5">
      <c r="A12" s="64" t="s">
        <v>4</v>
      </c>
    </row>
    <row r="14" spans="1:8" ht="19.5">
      <c r="A14" s="61" t="s">
        <v>272</v>
      </c>
      <c r="H14" s="61" t="s">
        <v>273</v>
      </c>
    </row>
    <row r="15" ht="19.5">
      <c r="A15" s="61" t="s">
        <v>270</v>
      </c>
    </row>
    <row r="16" ht="19.5">
      <c r="A16" s="61" t="s">
        <v>271</v>
      </c>
    </row>
    <row r="19" ht="19.5">
      <c r="A19" s="61" t="s">
        <v>269</v>
      </c>
    </row>
    <row r="21" spans="1:8" ht="19.5">
      <c r="A21" s="61" t="s">
        <v>58</v>
      </c>
      <c r="H21" s="61" t="s">
        <v>262</v>
      </c>
    </row>
    <row r="22" ht="19.5">
      <c r="A22" s="61" t="s">
        <v>260</v>
      </c>
    </row>
    <row r="23" ht="19.5">
      <c r="A23" s="61" t="s">
        <v>261</v>
      </c>
    </row>
    <row r="25" spans="1:8" ht="19.5">
      <c r="A25" s="61" t="s">
        <v>59</v>
      </c>
      <c r="H25" s="61" t="s">
        <v>259</v>
      </c>
    </row>
    <row r="26" ht="19.5">
      <c r="A26" s="61" t="s">
        <v>60</v>
      </c>
    </row>
    <row r="27" ht="19.5">
      <c r="A27" s="61" t="s">
        <v>61</v>
      </c>
    </row>
    <row r="29" spans="1:8" ht="19.5">
      <c r="A29" s="61" t="s">
        <v>62</v>
      </c>
      <c r="H29" s="61" t="s">
        <v>258</v>
      </c>
    </row>
    <row r="30" ht="19.5">
      <c r="A30" s="61" t="s">
        <v>63</v>
      </c>
    </row>
    <row r="31" ht="19.5">
      <c r="A31" s="61" t="s">
        <v>64</v>
      </c>
    </row>
    <row r="33" spans="1:8" ht="19.5">
      <c r="A33" s="61" t="s">
        <v>65</v>
      </c>
      <c r="H33" s="61" t="s">
        <v>257</v>
      </c>
    </row>
    <row r="34" ht="19.5">
      <c r="A34" s="61" t="s">
        <v>66</v>
      </c>
    </row>
    <row r="35" ht="19.5">
      <c r="A35" s="61" t="s">
        <v>67</v>
      </c>
    </row>
    <row r="37" spans="1:8" ht="19.5">
      <c r="A37" s="61" t="s">
        <v>68</v>
      </c>
      <c r="H37" s="61" t="s">
        <v>48</v>
      </c>
    </row>
    <row r="38" ht="19.5">
      <c r="A38" s="61" t="s">
        <v>56</v>
      </c>
    </row>
    <row r="39" ht="19.5">
      <c r="A39" s="62" t="s">
        <v>57</v>
      </c>
    </row>
    <row r="41" spans="1:8" ht="19.5">
      <c r="A41" s="61" t="s">
        <v>69</v>
      </c>
      <c r="H41" s="61" t="s">
        <v>256</v>
      </c>
    </row>
    <row r="42" ht="19.5">
      <c r="A42" s="61" t="s">
        <v>70</v>
      </c>
    </row>
    <row r="43" ht="19.5">
      <c r="A43" s="61" t="s">
        <v>71</v>
      </c>
    </row>
    <row r="45" spans="1:8" ht="19.5">
      <c r="A45" s="61" t="s">
        <v>72</v>
      </c>
      <c r="H45" s="61" t="s">
        <v>255</v>
      </c>
    </row>
    <row r="46" ht="19.5">
      <c r="A46" s="61" t="s">
        <v>73</v>
      </c>
    </row>
    <row r="47" ht="19.5">
      <c r="A47" s="61" t="s">
        <v>74</v>
      </c>
    </row>
    <row r="49" spans="1:8" ht="19.5">
      <c r="A49" s="61" t="s">
        <v>75</v>
      </c>
      <c r="H49" s="61" t="s">
        <v>244</v>
      </c>
    </row>
    <row r="50" ht="19.5">
      <c r="A50" s="61" t="s">
        <v>76</v>
      </c>
    </row>
    <row r="51" ht="19.5">
      <c r="A51" s="61" t="s">
        <v>77</v>
      </c>
    </row>
    <row r="53" spans="1:8" ht="19.5">
      <c r="A53" s="61" t="s">
        <v>78</v>
      </c>
      <c r="H53" s="61" t="s">
        <v>254</v>
      </c>
    </row>
    <row r="54" ht="19.5">
      <c r="A54" s="61" t="s">
        <v>79</v>
      </c>
    </row>
    <row r="55" ht="19.5">
      <c r="A55" s="61" t="s">
        <v>80</v>
      </c>
    </row>
    <row r="57" spans="1:8" ht="19.5">
      <c r="A57" s="61" t="s">
        <v>81</v>
      </c>
      <c r="H57" s="61" t="s">
        <v>253</v>
      </c>
    </row>
    <row r="58" ht="19.5">
      <c r="A58" s="62" t="s">
        <v>202</v>
      </c>
    </row>
    <row r="59" ht="19.5">
      <c r="A59" s="62" t="s">
        <v>203</v>
      </c>
    </row>
    <row r="61" spans="1:8" ht="19.5">
      <c r="A61" s="61" t="s">
        <v>82</v>
      </c>
      <c r="H61" s="61" t="s">
        <v>274</v>
      </c>
    </row>
    <row r="62" ht="19.5">
      <c r="A62" s="61" t="s">
        <v>49</v>
      </c>
    </row>
    <row r="63" ht="19.5">
      <c r="A63" s="61" t="s">
        <v>83</v>
      </c>
    </row>
    <row r="65" spans="1:8" ht="19.5">
      <c r="A65" s="61" t="s">
        <v>84</v>
      </c>
      <c r="H65" s="61" t="s">
        <v>252</v>
      </c>
    </row>
    <row r="66" ht="19.5">
      <c r="A66" s="61" t="s">
        <v>85</v>
      </c>
    </row>
    <row r="67" ht="19.5">
      <c r="A67" s="61" t="s">
        <v>86</v>
      </c>
    </row>
    <row r="69" spans="1:8" ht="19.5">
      <c r="A69" s="61" t="s">
        <v>87</v>
      </c>
      <c r="H69" s="61" t="s">
        <v>251</v>
      </c>
    </row>
    <row r="70" ht="19.5">
      <c r="A70" s="61" t="s">
        <v>88</v>
      </c>
    </row>
    <row r="71" ht="19.5">
      <c r="A71" s="61" t="s">
        <v>89</v>
      </c>
    </row>
    <row r="73" spans="1:8" ht="19.5">
      <c r="A73" s="61" t="s">
        <v>90</v>
      </c>
      <c r="H73" s="61" t="s">
        <v>250</v>
      </c>
    </row>
    <row r="74" ht="19.5">
      <c r="A74" s="61" t="s">
        <v>91</v>
      </c>
    </row>
    <row r="75" ht="19.5">
      <c r="A75" s="61" t="s">
        <v>92</v>
      </c>
    </row>
    <row r="77" spans="1:8" ht="19.5">
      <c r="A77" s="61" t="s">
        <v>93</v>
      </c>
      <c r="H77" s="61" t="s">
        <v>249</v>
      </c>
    </row>
    <row r="78" ht="19.5">
      <c r="A78" s="61" t="s">
        <v>94</v>
      </c>
    </row>
    <row r="79" ht="19.5">
      <c r="A79" s="61" t="s">
        <v>95</v>
      </c>
    </row>
    <row r="81" spans="1:8" ht="19.5">
      <c r="A81" s="61" t="s">
        <v>96</v>
      </c>
      <c r="H81" s="61" t="s">
        <v>248</v>
      </c>
    </row>
    <row r="82" ht="19.5">
      <c r="A82" s="62" t="s">
        <v>247</v>
      </c>
    </row>
    <row r="83" ht="19.5">
      <c r="A83" s="61" t="s">
        <v>97</v>
      </c>
    </row>
    <row r="85" spans="1:8" ht="19.5">
      <c r="A85" s="61" t="s">
        <v>98</v>
      </c>
      <c r="H85" s="61" t="s">
        <v>246</v>
      </c>
    </row>
    <row r="86" ht="19.5">
      <c r="A86" s="61" t="s">
        <v>50</v>
      </c>
    </row>
    <row r="87" ht="19.5">
      <c r="A87" s="61" t="s">
        <v>51</v>
      </c>
    </row>
    <row r="89" spans="1:8" ht="19.5">
      <c r="A89" s="61" t="s">
        <v>99</v>
      </c>
      <c r="H89" s="61" t="s">
        <v>245</v>
      </c>
    </row>
    <row r="90" ht="19.5">
      <c r="A90" s="61" t="s">
        <v>100</v>
      </c>
    </row>
    <row r="91" ht="19.5">
      <c r="A91" s="61" t="s">
        <v>101</v>
      </c>
    </row>
    <row r="94" spans="1:8" ht="19.5">
      <c r="A94" s="61" t="s">
        <v>102</v>
      </c>
      <c r="H94" s="61" t="s">
        <v>55</v>
      </c>
    </row>
    <row r="95" ht="19.5">
      <c r="A95" s="61" t="s">
        <v>53</v>
      </c>
    </row>
    <row r="96" ht="19.5">
      <c r="A96" s="61" t="s">
        <v>54</v>
      </c>
    </row>
    <row r="98" spans="1:8" ht="19.5">
      <c r="A98" s="61" t="s">
        <v>103</v>
      </c>
      <c r="H98" s="61" t="s">
        <v>244</v>
      </c>
    </row>
    <row r="99" ht="19.5">
      <c r="A99" s="61" t="s">
        <v>76</v>
      </c>
    </row>
    <row r="100" ht="19.5">
      <c r="A100" s="61" t="s">
        <v>77</v>
      </c>
    </row>
    <row r="103" spans="1:8" ht="19.5">
      <c r="A103" s="61" t="s">
        <v>104</v>
      </c>
      <c r="H103" s="61" t="s">
        <v>243</v>
      </c>
    </row>
    <row r="104" ht="19.5">
      <c r="A104" s="62" t="s">
        <v>242</v>
      </c>
    </row>
    <row r="105" ht="19.5">
      <c r="A105" s="61" t="s">
        <v>105</v>
      </c>
    </row>
    <row r="107" spans="1:8" ht="19.5">
      <c r="A107" s="61" t="s">
        <v>106</v>
      </c>
      <c r="H107" s="61" t="s">
        <v>241</v>
      </c>
    </row>
    <row r="108" ht="19.5">
      <c r="A108" s="61" t="s">
        <v>107</v>
      </c>
    </row>
    <row r="109" ht="19.5">
      <c r="A109" s="61" t="s">
        <v>108</v>
      </c>
    </row>
    <row r="112" spans="1:8" ht="19.5">
      <c r="A112" s="61" t="s">
        <v>109</v>
      </c>
      <c r="H112" s="4" t="s">
        <v>240</v>
      </c>
    </row>
    <row r="113" ht="19.5">
      <c r="A113" s="61" t="s">
        <v>110</v>
      </c>
    </row>
    <row r="114" ht="19.5">
      <c r="A114" s="61" t="s">
        <v>111</v>
      </c>
    </row>
    <row r="115" ht="19.5">
      <c r="A115" s="61" t="s">
        <v>112</v>
      </c>
    </row>
    <row r="116" ht="19.5">
      <c r="A116" s="61" t="s">
        <v>113</v>
      </c>
    </row>
    <row r="117" ht="19.5">
      <c r="A117" s="61" t="s">
        <v>114</v>
      </c>
    </row>
    <row r="118" ht="19.5">
      <c r="A118" s="61" t="s">
        <v>115</v>
      </c>
    </row>
    <row r="119" ht="19.5">
      <c r="A119" s="61" t="s">
        <v>116</v>
      </c>
    </row>
    <row r="120" ht="19.5">
      <c r="A120" s="61" t="s">
        <v>117</v>
      </c>
    </row>
    <row r="121" ht="19.5">
      <c r="A121" s="61" t="s">
        <v>118</v>
      </c>
    </row>
    <row r="122" ht="19.5">
      <c r="A122" s="61" t="s">
        <v>119</v>
      </c>
    </row>
    <row r="123" ht="19.5">
      <c r="A123" s="61" t="s">
        <v>120</v>
      </c>
    </row>
    <row r="124" ht="19.5">
      <c r="A124" s="61" t="s">
        <v>121</v>
      </c>
    </row>
    <row r="125" ht="19.5">
      <c r="A125" s="61" t="s">
        <v>122</v>
      </c>
    </row>
    <row r="126" ht="19.5">
      <c r="A126" s="61" t="s">
        <v>123</v>
      </c>
    </row>
    <row r="127" ht="19.5">
      <c r="A127" s="61" t="s">
        <v>124</v>
      </c>
    </row>
    <row r="128" ht="19.5">
      <c r="A128" s="61" t="s">
        <v>125</v>
      </c>
    </row>
    <row r="129" ht="19.5">
      <c r="A129" s="61" t="s">
        <v>126</v>
      </c>
    </row>
    <row r="130" ht="19.5">
      <c r="A130" s="61" t="s">
        <v>127</v>
      </c>
    </row>
    <row r="132" spans="1:8" ht="19.5">
      <c r="A132" s="61" t="s">
        <v>128</v>
      </c>
      <c r="H132" s="61" t="s">
        <v>238</v>
      </c>
    </row>
    <row r="133" ht="19.5">
      <c r="A133" s="61" t="s">
        <v>236</v>
      </c>
    </row>
    <row r="134" ht="19.5">
      <c r="A134" s="61" t="s">
        <v>237</v>
      </c>
    </row>
    <row r="136" spans="1:8" ht="19.5">
      <c r="A136" s="61" t="s">
        <v>129</v>
      </c>
      <c r="H136" s="61" t="s">
        <v>235</v>
      </c>
    </row>
    <row r="137" ht="19.5">
      <c r="A137" s="61" t="s">
        <v>130</v>
      </c>
    </row>
    <row r="138" ht="19.5">
      <c r="A138" s="62" t="s">
        <v>234</v>
      </c>
    </row>
    <row r="140" spans="1:8" ht="19.5">
      <c r="A140" s="61" t="s">
        <v>131</v>
      </c>
      <c r="H140" s="61" t="s">
        <v>233</v>
      </c>
    </row>
    <row r="141" ht="19.5">
      <c r="A141" s="61" t="s">
        <v>132</v>
      </c>
    </row>
    <row r="142" ht="19.5">
      <c r="A142" s="62" t="s">
        <v>232</v>
      </c>
    </row>
    <row r="144" spans="1:8" ht="19.5">
      <c r="A144" s="61" t="s">
        <v>133</v>
      </c>
      <c r="H144" s="4" t="s">
        <v>231</v>
      </c>
    </row>
    <row r="145" ht="19.5">
      <c r="A145" s="61" t="s">
        <v>134</v>
      </c>
    </row>
    <row r="146" ht="19.5">
      <c r="A146" s="61" t="s">
        <v>135</v>
      </c>
    </row>
    <row r="148" spans="1:8" ht="19.5">
      <c r="A148" s="61" t="s">
        <v>136</v>
      </c>
      <c r="H148" s="61" t="s">
        <v>230</v>
      </c>
    </row>
    <row r="149" ht="19.5">
      <c r="A149" s="61" t="s">
        <v>137</v>
      </c>
    </row>
    <row r="150" ht="19.5">
      <c r="A150" s="61" t="s">
        <v>138</v>
      </c>
    </row>
    <row r="151" ht="19.5">
      <c r="A151" s="61" t="s">
        <v>43</v>
      </c>
    </row>
    <row r="152" spans="1:8" ht="19.5">
      <c r="A152" s="61" t="s">
        <v>139</v>
      </c>
      <c r="H152" s="61" t="s">
        <v>229</v>
      </c>
    </row>
    <row r="153" ht="19.5">
      <c r="A153" s="62" t="s">
        <v>228</v>
      </c>
    </row>
    <row r="154" ht="19.5">
      <c r="A154" s="61" t="s">
        <v>140</v>
      </c>
    </row>
    <row r="156" spans="1:8" ht="19.5">
      <c r="A156" s="61" t="s">
        <v>141</v>
      </c>
      <c r="H156" s="61" t="s">
        <v>227</v>
      </c>
    </row>
    <row r="157" ht="19.5">
      <c r="A157" s="61" t="s">
        <v>226</v>
      </c>
    </row>
    <row r="158" ht="19.5">
      <c r="A158" s="61" t="s">
        <v>225</v>
      </c>
    </row>
    <row r="160" spans="1:8" ht="19.5">
      <c r="A160" s="61" t="s">
        <v>142</v>
      </c>
      <c r="H160" s="61" t="s">
        <v>224</v>
      </c>
    </row>
    <row r="161" ht="19.5">
      <c r="A161" s="61" t="s">
        <v>143</v>
      </c>
    </row>
    <row r="162" ht="19.5">
      <c r="A162" s="61" t="s">
        <v>144</v>
      </c>
    </row>
    <row r="164" spans="1:8" ht="19.5">
      <c r="A164" s="61" t="s">
        <v>145</v>
      </c>
      <c r="H164" s="61" t="s">
        <v>223</v>
      </c>
    </row>
    <row r="165" ht="19.5">
      <c r="A165" s="61" t="s">
        <v>146</v>
      </c>
    </row>
    <row r="166" ht="19.5">
      <c r="A166" s="61" t="s">
        <v>147</v>
      </c>
    </row>
    <row r="168" spans="1:8" ht="19.5">
      <c r="A168" s="61" t="s">
        <v>263</v>
      </c>
      <c r="E168" s="61" t="s">
        <v>220</v>
      </c>
      <c r="H168" s="61" t="s">
        <v>222</v>
      </c>
    </row>
    <row r="169" ht="19.5">
      <c r="A169" s="62" t="s">
        <v>221</v>
      </c>
    </row>
    <row r="170" ht="19.5">
      <c r="A170" s="61" t="s">
        <v>148</v>
      </c>
    </row>
    <row r="172" spans="1:8" ht="19.5">
      <c r="A172" s="61" t="s">
        <v>219</v>
      </c>
      <c r="H172" s="61" t="s">
        <v>218</v>
      </c>
    </row>
    <row r="173" ht="19.5">
      <c r="A173" s="61" t="s">
        <v>149</v>
      </c>
    </row>
    <row r="174" ht="19.5">
      <c r="A174" s="61" t="s">
        <v>150</v>
      </c>
    </row>
    <row r="176" spans="1:8" ht="19.5">
      <c r="A176" s="61" t="s">
        <v>151</v>
      </c>
      <c r="H176" s="61" t="s">
        <v>217</v>
      </c>
    </row>
    <row r="177" ht="19.5">
      <c r="A177" s="61" t="s">
        <v>152</v>
      </c>
    </row>
    <row r="178" ht="19.5">
      <c r="A178" s="61" t="s">
        <v>153</v>
      </c>
    </row>
    <row r="180" spans="1:8" ht="19.5">
      <c r="A180" s="61" t="s">
        <v>154</v>
      </c>
      <c r="H180" s="61" t="s">
        <v>216</v>
      </c>
    </row>
    <row r="181" ht="19.5">
      <c r="A181" s="62" t="s">
        <v>215</v>
      </c>
    </row>
    <row r="182" ht="19.5">
      <c r="A182" s="61" t="s">
        <v>155</v>
      </c>
    </row>
    <row r="185" spans="1:8" ht="19.5">
      <c r="A185" s="61" t="s">
        <v>156</v>
      </c>
      <c r="H185" s="61" t="s">
        <v>214</v>
      </c>
    </row>
    <row r="186" ht="19.5">
      <c r="A186" s="61" t="s">
        <v>157</v>
      </c>
    </row>
    <row r="187" ht="19.5">
      <c r="A187" s="61" t="s">
        <v>158</v>
      </c>
    </row>
    <row r="189" spans="1:8" ht="19.5">
      <c r="A189" s="61" t="s">
        <v>159</v>
      </c>
      <c r="H189" s="61" t="s">
        <v>213</v>
      </c>
    </row>
    <row r="190" ht="19.5">
      <c r="A190" s="61" t="s">
        <v>212</v>
      </c>
    </row>
    <row r="191" ht="19.5">
      <c r="A191" s="61" t="s">
        <v>160</v>
      </c>
    </row>
    <row r="193" spans="1:8" ht="19.5">
      <c r="A193" s="61" t="s">
        <v>161</v>
      </c>
      <c r="H193" s="61" t="s">
        <v>211</v>
      </c>
    </row>
    <row r="194" ht="19.5">
      <c r="A194" s="61" t="s">
        <v>162</v>
      </c>
    </row>
    <row r="195" ht="19.5">
      <c r="A195" s="61" t="s">
        <v>163</v>
      </c>
    </row>
    <row r="196" ht="19.5">
      <c r="A196" s="61" t="s">
        <v>43</v>
      </c>
    </row>
    <row r="197" ht="19.5">
      <c r="A197" s="61" t="s">
        <v>43</v>
      </c>
    </row>
    <row r="198" spans="1:8" ht="19.5">
      <c r="A198" s="61" t="s">
        <v>164</v>
      </c>
      <c r="H198" s="61" t="s">
        <v>210</v>
      </c>
    </row>
    <row r="199" ht="19.5">
      <c r="A199" s="61" t="s">
        <v>165</v>
      </c>
    </row>
    <row r="200" ht="19.5">
      <c r="A200" s="61" t="s">
        <v>166</v>
      </c>
    </row>
    <row r="202" spans="1:8" ht="19.5">
      <c r="A202" s="61" t="s">
        <v>167</v>
      </c>
      <c r="H202" s="61" t="s">
        <v>209</v>
      </c>
    </row>
    <row r="203" ht="19.5">
      <c r="A203" s="61" t="s">
        <v>168</v>
      </c>
    </row>
    <row r="204" ht="19.5">
      <c r="A204" s="61" t="s">
        <v>169</v>
      </c>
    </row>
    <row r="207" spans="1:8" ht="19.5">
      <c r="A207" s="61" t="s">
        <v>170</v>
      </c>
      <c r="H207" s="61" t="s">
        <v>208</v>
      </c>
    </row>
    <row r="208" ht="19.5">
      <c r="A208" s="61" t="s">
        <v>171</v>
      </c>
    </row>
    <row r="209" ht="19.5">
      <c r="A209" s="61" t="s">
        <v>172</v>
      </c>
    </row>
    <row r="211" spans="1:8" ht="19.5">
      <c r="A211" s="61" t="s">
        <v>173</v>
      </c>
      <c r="H211" s="61" t="s">
        <v>207</v>
      </c>
    </row>
    <row r="212" ht="19.5">
      <c r="A212" s="61" t="s">
        <v>174</v>
      </c>
    </row>
    <row r="213" ht="19.5">
      <c r="A213" s="61" t="s">
        <v>175</v>
      </c>
    </row>
    <row r="215" spans="1:8" ht="19.5">
      <c r="A215" s="61" t="s">
        <v>176</v>
      </c>
      <c r="H215" s="61" t="s">
        <v>206</v>
      </c>
    </row>
    <row r="216" ht="19.5">
      <c r="A216" s="61" t="s">
        <v>177</v>
      </c>
    </row>
    <row r="217" ht="19.5">
      <c r="A217" s="61" t="s">
        <v>178</v>
      </c>
    </row>
    <row r="219" spans="1:8" ht="19.5">
      <c r="A219" s="61" t="s">
        <v>179</v>
      </c>
      <c r="G219" t="s">
        <v>180</v>
      </c>
      <c r="H219" s="61" t="s">
        <v>275</v>
      </c>
    </row>
    <row r="220" ht="19.5">
      <c r="A220" s="61" t="s">
        <v>181</v>
      </c>
    </row>
    <row r="221" ht="19.5">
      <c r="A221" s="62" t="s">
        <v>276</v>
      </c>
    </row>
    <row r="223" spans="1:8" ht="19.5">
      <c r="A223" s="61" t="s">
        <v>277</v>
      </c>
      <c r="H223" s="61" t="s">
        <v>278</v>
      </c>
    </row>
    <row r="224" ht="19.5">
      <c r="A224" s="61" t="s">
        <v>182</v>
      </c>
    </row>
    <row r="225" ht="19.5">
      <c r="A225" s="61" t="s">
        <v>183</v>
      </c>
    </row>
    <row r="227" spans="1:8" ht="19.5">
      <c r="A227" s="61" t="s">
        <v>280</v>
      </c>
      <c r="H227" s="61" t="s">
        <v>279</v>
      </c>
    </row>
    <row r="228" ht="19.5">
      <c r="A228" s="61" t="s">
        <v>184</v>
      </c>
    </row>
    <row r="229" ht="19.5">
      <c r="A229" s="61" t="s">
        <v>185</v>
      </c>
    </row>
    <row r="231" spans="1:8" ht="19.5">
      <c r="A231" s="61" t="s">
        <v>186</v>
      </c>
      <c r="H231" s="61" t="s">
        <v>205</v>
      </c>
    </row>
    <row r="232" ht="19.5">
      <c r="A232" s="61" t="s">
        <v>187</v>
      </c>
    </row>
    <row r="233" ht="19.5">
      <c r="A233" s="61" t="s">
        <v>188</v>
      </c>
    </row>
    <row r="235" spans="1:8" ht="19.5">
      <c r="A235" s="61" t="s">
        <v>189</v>
      </c>
      <c r="H235" s="61" t="s">
        <v>204</v>
      </c>
    </row>
    <row r="236" ht="19.5">
      <c r="A236" s="62" t="s">
        <v>281</v>
      </c>
    </row>
    <row r="237" ht="19.5">
      <c r="A237" s="62" t="s">
        <v>282</v>
      </c>
    </row>
    <row r="239" ht="19.5">
      <c r="A239" s="61" t="s">
        <v>190</v>
      </c>
    </row>
    <row r="240" spans="1:8" ht="19.5">
      <c r="A240" s="61" t="s">
        <v>191</v>
      </c>
      <c r="H240" s="61" t="s">
        <v>266</v>
      </c>
    </row>
    <row r="241" spans="1:6" ht="19.5">
      <c r="A241" s="61" t="s">
        <v>192</v>
      </c>
      <c r="D241" t="str">
        <f>map(A241,".|","-")</f>
        <v>---A-STEW</v>
      </c>
      <c r="F241" s="61" t="s">
        <v>264</v>
      </c>
    </row>
    <row r="242" spans="1:6" ht="19.5">
      <c r="A242" s="61" t="s">
        <v>193</v>
      </c>
      <c r="D242" t="str">
        <f aca="true" t="shared" si="0" ref="D242:D251">map(A242,".|","-")</f>
        <v>E-G------</v>
      </c>
      <c r="F242" s="61" t="s">
        <v>265</v>
      </c>
    </row>
    <row r="243" spans="1:4" ht="19.5">
      <c r="A243" s="61" t="s">
        <v>194</v>
      </c>
      <c r="D243" t="str">
        <f t="shared" si="0"/>
        <v>--TO-W---</v>
      </c>
    </row>
    <row r="244" spans="1:6" ht="19.5">
      <c r="A244" s="61" t="s">
        <v>195</v>
      </c>
      <c r="D244" t="str">
        <f t="shared" si="0"/>
        <v>-----------</v>
      </c>
      <c r="F244" s="61" t="s">
        <v>267</v>
      </c>
    </row>
    <row r="245" spans="1:6" ht="19.5">
      <c r="A245" s="61" t="s">
        <v>196</v>
      </c>
      <c r="D245" t="str">
        <f t="shared" si="0"/>
        <v>--S---R-T</v>
      </c>
      <c r="F245" s="61" t="s">
        <v>268</v>
      </c>
    </row>
    <row r="246" spans="1:4" ht="19.5">
      <c r="A246" s="61" t="s">
        <v>197</v>
      </c>
      <c r="D246" t="str">
        <f t="shared" si="0"/>
        <v>-A-G-RWH-</v>
      </c>
    </row>
    <row r="247" spans="1:4" ht="19.5">
      <c r="A247" s="61" t="s">
        <v>198</v>
      </c>
      <c r="D247" t="str">
        <f t="shared" si="0"/>
        <v>T-R---A--</v>
      </c>
    </row>
    <row r="248" spans="1:4" ht="19.5">
      <c r="A248" s="61" t="s">
        <v>195</v>
      </c>
      <c r="D248" t="str">
        <f t="shared" si="0"/>
        <v>-----------</v>
      </c>
    </row>
    <row r="249" spans="1:4" ht="19.5">
      <c r="A249" s="61" t="s">
        <v>199</v>
      </c>
      <c r="D249" t="str">
        <f t="shared" si="0"/>
        <v>---E-AS--</v>
      </c>
    </row>
    <row r="250" spans="1:4" ht="19.5">
      <c r="A250" s="61" t="s">
        <v>200</v>
      </c>
      <c r="D250" t="str">
        <f t="shared" si="0"/>
        <v>-EAR--H-G</v>
      </c>
    </row>
    <row r="251" spans="1:4" ht="19.5">
      <c r="A251" s="61" t="s">
        <v>201</v>
      </c>
      <c r="D251" t="str">
        <f t="shared" si="0"/>
        <v>R--S-G--O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12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363</v>
      </c>
    </row>
    <row r="2" ht="12.75">
      <c r="A2" t="s">
        <v>364</v>
      </c>
    </row>
    <row r="3" ht="12.75">
      <c r="A3" t="s">
        <v>365</v>
      </c>
    </row>
    <row r="4" ht="12.75">
      <c r="A4" t="s">
        <v>366</v>
      </c>
    </row>
    <row r="5" ht="12.75">
      <c r="A5" t="s">
        <v>367</v>
      </c>
    </row>
    <row r="6" ht="12.75">
      <c r="A6" t="s">
        <v>368</v>
      </c>
    </row>
    <row r="7" ht="12.75">
      <c r="A7" t="s">
        <v>369</v>
      </c>
    </row>
    <row r="8" ht="12.75">
      <c r="A8" t="s">
        <v>370</v>
      </c>
    </row>
    <row r="9" ht="12.75">
      <c r="A9" t="s">
        <v>371</v>
      </c>
    </row>
    <row r="10" ht="12.75">
      <c r="A10" t="s">
        <v>372</v>
      </c>
    </row>
    <row r="11" ht="12.75">
      <c r="A11" t="s">
        <v>373</v>
      </c>
    </row>
    <row r="12" ht="12.75">
      <c r="A12" t="s">
        <v>374</v>
      </c>
    </row>
    <row r="13" ht="12.75">
      <c r="A13" t="s">
        <v>375</v>
      </c>
    </row>
    <row r="14" ht="12.75">
      <c r="A14" t="s">
        <v>376</v>
      </c>
    </row>
    <row r="15" ht="12.75">
      <c r="A15" t="s">
        <v>377</v>
      </c>
    </row>
    <row r="16" ht="12.75">
      <c r="A16" t="s">
        <v>378</v>
      </c>
    </row>
    <row r="17" ht="12.75">
      <c r="A17" t="s">
        <v>379</v>
      </c>
    </row>
    <row r="18" ht="12.75">
      <c r="A18" t="s">
        <v>380</v>
      </c>
    </row>
    <row r="19" ht="12.75">
      <c r="A19" t="s">
        <v>381</v>
      </c>
    </row>
    <row r="20" ht="12.75">
      <c r="A20" t="s">
        <v>382</v>
      </c>
    </row>
    <row r="21" ht="12.75">
      <c r="A21" t="s">
        <v>383</v>
      </c>
    </row>
    <row r="22" ht="12.75">
      <c r="A22" t="s">
        <v>384</v>
      </c>
    </row>
    <row r="23" ht="12.75">
      <c r="A23" t="s">
        <v>385</v>
      </c>
    </row>
    <row r="24" ht="12.75">
      <c r="A24" t="s">
        <v>386</v>
      </c>
    </row>
    <row r="25" ht="12.75">
      <c r="A25" t="s">
        <v>387</v>
      </c>
    </row>
    <row r="26" ht="12.75">
      <c r="A26" t="s">
        <v>388</v>
      </c>
    </row>
    <row r="27" ht="12.75">
      <c r="A27" t="s">
        <v>389</v>
      </c>
    </row>
    <row r="28" ht="12.75">
      <c r="A28" t="s">
        <v>390</v>
      </c>
    </row>
    <row r="29" ht="12.75">
      <c r="A29" t="s">
        <v>391</v>
      </c>
    </row>
    <row r="30" ht="12.75">
      <c r="A30" t="s">
        <v>392</v>
      </c>
    </row>
    <row r="31" ht="12.75">
      <c r="A31" t="s">
        <v>393</v>
      </c>
    </row>
    <row r="32" ht="12.75">
      <c r="A32" t="s">
        <v>394</v>
      </c>
    </row>
    <row r="33" ht="12.75">
      <c r="A33" t="s">
        <v>395</v>
      </c>
    </row>
    <row r="34" ht="12.75">
      <c r="A34" t="s">
        <v>396</v>
      </c>
    </row>
    <row r="35" ht="12.75">
      <c r="A35" t="s">
        <v>397</v>
      </c>
    </row>
    <row r="36" ht="12.75">
      <c r="A36" t="s">
        <v>398</v>
      </c>
    </row>
    <row r="37" ht="12.75">
      <c r="A37" t="s">
        <v>375</v>
      </c>
    </row>
    <row r="38" ht="12.75">
      <c r="A38" t="s">
        <v>376</v>
      </c>
    </row>
    <row r="39" ht="12.75">
      <c r="A39" t="s">
        <v>377</v>
      </c>
    </row>
    <row r="40" ht="12.75">
      <c r="A40" t="s">
        <v>378</v>
      </c>
    </row>
    <row r="41" ht="12.75">
      <c r="A41" t="s">
        <v>379</v>
      </c>
    </row>
    <row r="42" ht="12.75">
      <c r="A42" t="s">
        <v>380</v>
      </c>
    </row>
    <row r="43" ht="12.75">
      <c r="A43" t="s">
        <v>381</v>
      </c>
    </row>
    <row r="44" ht="12.75">
      <c r="A44" t="s">
        <v>352</v>
      </c>
    </row>
    <row r="45" ht="12.75">
      <c r="A45" t="s">
        <v>353</v>
      </c>
    </row>
    <row r="46" ht="12.75">
      <c r="A46" t="s">
        <v>354</v>
      </c>
    </row>
    <row r="47" ht="12.75">
      <c r="A47" t="s">
        <v>355</v>
      </c>
    </row>
    <row r="48" ht="12.75">
      <c r="A48" t="s">
        <v>356</v>
      </c>
    </row>
    <row r="49" ht="12.75">
      <c r="A49" t="s">
        <v>357</v>
      </c>
    </row>
    <row r="50" ht="12.75">
      <c r="A50" t="s">
        <v>358</v>
      </c>
    </row>
    <row r="51" ht="12.75">
      <c r="A51" t="s">
        <v>382</v>
      </c>
    </row>
    <row r="52" ht="12.75">
      <c r="A52" t="s">
        <v>383</v>
      </c>
    </row>
    <row r="53" ht="12.75">
      <c r="A53" t="s">
        <v>384</v>
      </c>
    </row>
    <row r="54" ht="12.75">
      <c r="A54" t="s">
        <v>385</v>
      </c>
    </row>
    <row r="55" ht="12.75">
      <c r="A55" t="s">
        <v>386</v>
      </c>
    </row>
    <row r="56" ht="12.75">
      <c r="A56" t="s">
        <v>387</v>
      </c>
    </row>
    <row r="57" ht="12.75">
      <c r="A57" t="s">
        <v>388</v>
      </c>
    </row>
    <row r="58" ht="12.75">
      <c r="A58" t="s">
        <v>399</v>
      </c>
    </row>
    <row r="59" ht="12.75">
      <c r="A59" t="s">
        <v>400</v>
      </c>
    </row>
    <row r="60" ht="12.75">
      <c r="A60" t="s">
        <v>401</v>
      </c>
    </row>
    <row r="61" ht="12.75">
      <c r="A61" t="s">
        <v>402</v>
      </c>
    </row>
    <row r="62" ht="12.75">
      <c r="A62" t="s">
        <v>403</v>
      </c>
    </row>
    <row r="63" ht="12.75">
      <c r="A63" t="s">
        <v>404</v>
      </c>
    </row>
    <row r="64" ht="12.75">
      <c r="A64" t="s">
        <v>405</v>
      </c>
    </row>
    <row r="65" ht="12.75">
      <c r="A65" t="s">
        <v>389</v>
      </c>
    </row>
    <row r="66" ht="12.75">
      <c r="A66" t="s">
        <v>390</v>
      </c>
    </row>
    <row r="67" ht="12.75">
      <c r="A67" t="s">
        <v>391</v>
      </c>
    </row>
    <row r="68" ht="12.75">
      <c r="A68" t="s">
        <v>392</v>
      </c>
    </row>
    <row r="69" ht="12.75">
      <c r="A69" t="s">
        <v>393</v>
      </c>
    </row>
    <row r="70" ht="12.75">
      <c r="A70" t="s">
        <v>394</v>
      </c>
    </row>
    <row r="71" ht="12.75">
      <c r="A71" t="s">
        <v>406</v>
      </c>
    </row>
    <row r="72" ht="12.75">
      <c r="A72" t="s">
        <v>407</v>
      </c>
    </row>
    <row r="73" ht="12.75">
      <c r="A73" t="s">
        <v>408</v>
      </c>
    </row>
    <row r="74" ht="12.75">
      <c r="A74" t="s">
        <v>409</v>
      </c>
    </row>
    <row r="75" ht="12.75">
      <c r="A75" t="s">
        <v>410</v>
      </c>
    </row>
    <row r="76" ht="12.75">
      <c r="A76" t="s">
        <v>411</v>
      </c>
    </row>
    <row r="77" ht="12.75">
      <c r="A77" t="s">
        <v>412</v>
      </c>
    </row>
    <row r="78" ht="12.75">
      <c r="A78" t="s">
        <v>413</v>
      </c>
    </row>
    <row r="79" ht="12.75">
      <c r="A79" t="s">
        <v>414</v>
      </c>
    </row>
    <row r="80" ht="12.75">
      <c r="A80" t="s">
        <v>415</v>
      </c>
    </row>
    <row r="81" ht="12.75">
      <c r="A81" t="s">
        <v>416</v>
      </c>
    </row>
    <row r="82" ht="12.75">
      <c r="A82" t="s">
        <v>417</v>
      </c>
    </row>
    <row r="83" ht="12.75">
      <c r="A83" t="s">
        <v>418</v>
      </c>
    </row>
    <row r="84" ht="12.75">
      <c r="A84" t="s">
        <v>419</v>
      </c>
    </row>
    <row r="85" ht="12.75">
      <c r="A85" t="s">
        <v>420</v>
      </c>
    </row>
    <row r="86" ht="12.75">
      <c r="A86" t="s">
        <v>421</v>
      </c>
    </row>
    <row r="87" ht="12.75">
      <c r="A87" t="s">
        <v>375</v>
      </c>
    </row>
    <row r="88" ht="12.75">
      <c r="A88" t="s">
        <v>376</v>
      </c>
    </row>
    <row r="89" ht="12.75">
      <c r="A89" t="s">
        <v>377</v>
      </c>
    </row>
    <row r="90" ht="12.75">
      <c r="A90" t="s">
        <v>378</v>
      </c>
    </row>
    <row r="91" ht="12.75">
      <c r="A91" t="s">
        <v>379</v>
      </c>
    </row>
    <row r="92" ht="12.75">
      <c r="A92" t="s">
        <v>380</v>
      </c>
    </row>
    <row r="93" ht="12.75">
      <c r="A93" t="s">
        <v>381</v>
      </c>
    </row>
    <row r="94" ht="12.75">
      <c r="A94" t="s">
        <v>352</v>
      </c>
    </row>
    <row r="95" ht="12.75">
      <c r="A95" t="s">
        <v>353</v>
      </c>
    </row>
    <row r="96" ht="12.75">
      <c r="A96" t="s">
        <v>354</v>
      </c>
    </row>
    <row r="97" ht="12.75">
      <c r="A97" t="s">
        <v>355</v>
      </c>
    </row>
    <row r="98" ht="12.75">
      <c r="A98" t="s">
        <v>356</v>
      </c>
    </row>
    <row r="99" ht="12.75">
      <c r="A99" t="s">
        <v>357</v>
      </c>
    </row>
    <row r="100" ht="12.75">
      <c r="A100" t="s">
        <v>358</v>
      </c>
    </row>
    <row r="101" ht="12.75">
      <c r="A101" t="s">
        <v>382</v>
      </c>
    </row>
    <row r="102" ht="12.75">
      <c r="A102" t="s">
        <v>383</v>
      </c>
    </row>
    <row r="103" ht="12.75">
      <c r="A103" t="s">
        <v>384</v>
      </c>
    </row>
    <row r="104" ht="12.75">
      <c r="A104" t="s">
        <v>385</v>
      </c>
    </row>
    <row r="105" ht="12.75">
      <c r="A105" t="s">
        <v>386</v>
      </c>
    </row>
    <row r="106" ht="12.75">
      <c r="A106" t="s">
        <v>387</v>
      </c>
    </row>
    <row r="107" ht="12.75">
      <c r="A107" t="s">
        <v>388</v>
      </c>
    </row>
    <row r="108" ht="12.75">
      <c r="A108" t="s">
        <v>399</v>
      </c>
    </row>
    <row r="109" ht="12.75">
      <c r="A109" t="s">
        <v>400</v>
      </c>
    </row>
    <row r="110" ht="12.75">
      <c r="A110" t="s">
        <v>401</v>
      </c>
    </row>
    <row r="111" ht="12.75">
      <c r="A111" t="s">
        <v>402</v>
      </c>
    </row>
    <row r="112" ht="12.75">
      <c r="A112" t="s">
        <v>403</v>
      </c>
    </row>
    <row r="113" ht="12.75">
      <c r="A113" t="s">
        <v>404</v>
      </c>
    </row>
    <row r="114" ht="12.75">
      <c r="A114" t="s">
        <v>405</v>
      </c>
    </row>
    <row r="115" ht="12.75">
      <c r="A115" t="s">
        <v>389</v>
      </c>
    </row>
    <row r="116" ht="12.75">
      <c r="A116" t="s">
        <v>390</v>
      </c>
    </row>
    <row r="117" ht="12.75">
      <c r="A117" t="s">
        <v>391</v>
      </c>
    </row>
    <row r="118" ht="12.75">
      <c r="A118" t="s">
        <v>392</v>
      </c>
    </row>
    <row r="119" ht="12.75">
      <c r="A119" t="s">
        <v>393</v>
      </c>
    </row>
    <row r="120" ht="12.75">
      <c r="A120" t="s">
        <v>394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Q36"/>
  <sheetViews>
    <sheetView workbookViewId="0" topLeftCell="A1">
      <selection activeCell="X23" sqref="X23"/>
    </sheetView>
  </sheetViews>
  <sheetFormatPr defaultColWidth="9.140625" defaultRowHeight="12.75"/>
  <cols>
    <col min="1" max="17" width="2.7109375" style="4" customWidth="1"/>
    <col min="18" max="18" width="9.140625" style="4" customWidth="1"/>
    <col min="19" max="19" width="12.28125" style="4" bestFit="1" customWidth="1"/>
    <col min="20" max="20" width="11.28125" style="4" customWidth="1"/>
    <col min="21" max="21" width="12.28125" style="4" bestFit="1" customWidth="1"/>
    <col min="22" max="22" width="9.140625" style="4" customWidth="1"/>
    <col min="23" max="23" width="12.28125" style="4" bestFit="1" customWidth="1"/>
    <col min="24" max="24" width="14.00390625" style="4" customWidth="1"/>
    <col min="25" max="25" width="9.140625" style="4" customWidth="1"/>
    <col min="26" max="26" width="12.28125" style="4" customWidth="1"/>
    <col min="27" max="27" width="10.7109375" style="4" customWidth="1"/>
    <col min="28" max="28" width="14.00390625" style="4" customWidth="1"/>
    <col min="29" max="30" width="12.28125" style="4" customWidth="1"/>
    <col min="31" max="31" width="9.140625" style="4" customWidth="1"/>
    <col min="32" max="32" width="12.28125" style="4" bestFit="1" customWidth="1"/>
    <col min="33" max="33" width="10.7109375" style="4" bestFit="1" customWidth="1"/>
    <col min="34" max="34" width="12.28125" style="4" customWidth="1"/>
    <col min="35" max="36" width="10.7109375" style="4" bestFit="1" customWidth="1"/>
    <col min="37" max="37" width="10.7109375" style="4" customWidth="1"/>
    <col min="38" max="38" width="12.28125" style="4" customWidth="1"/>
    <col min="39" max="39" width="7.57421875" style="4" customWidth="1"/>
    <col min="40" max="41" width="12.28125" style="4" bestFit="1" customWidth="1"/>
    <col min="42" max="16384" width="9.140625" style="4" customWidth="1"/>
  </cols>
  <sheetData>
    <row r="1" spans="19:43" ht="20.25" thickBot="1">
      <c r="S1" s="4" t="s">
        <v>37</v>
      </c>
      <c r="T1" s="4" t="s">
        <v>44</v>
      </c>
      <c r="U1" s="4" t="s">
        <v>38</v>
      </c>
      <c r="V1" s="4" t="s">
        <v>39</v>
      </c>
      <c r="X1" s="4" t="s">
        <v>40</v>
      </c>
      <c r="AQ1" s="4" t="s">
        <v>44</v>
      </c>
    </row>
    <row r="2" spans="1:43" ht="20.25" thickTop="1">
      <c r="A2" s="1"/>
      <c r="B2" s="2" t="s">
        <v>5</v>
      </c>
      <c r="C2" s="2"/>
      <c r="D2" s="3"/>
      <c r="E2" s="1" t="s">
        <v>6</v>
      </c>
      <c r="F2" s="2"/>
      <c r="G2" s="2" t="s">
        <v>7</v>
      </c>
      <c r="H2" s="3" t="s">
        <v>8</v>
      </c>
      <c r="I2" s="1"/>
      <c r="J2" s="2"/>
      <c r="K2" s="2"/>
      <c r="L2" s="3"/>
      <c r="M2" s="1" t="s">
        <v>9</v>
      </c>
      <c r="N2" s="2" t="s">
        <v>10</v>
      </c>
      <c r="O2" s="2"/>
      <c r="P2" s="3"/>
      <c r="R2" s="4" t="s">
        <v>21</v>
      </c>
      <c r="S2" s="4" t="str">
        <f>A2&amp;B2&amp;C2&amp;D2&amp;A3&amp;B3&amp;C3&amp;D3&amp;A4&amp;B4&amp;C4&amp;D4&amp;A5&amp;B5&amp;C5&amp;D5</f>
        <v>EMTPS</v>
      </c>
      <c r="T2" s="4" t="str">
        <f>B3&amp;C3&amp;D3&amp;E3&amp;B4&amp;C4&amp;D4&amp;E4&amp;B5&amp;C5&amp;D5&amp;E5&amp;B6&amp;C6&amp;D6&amp;E6</f>
        <v>MITPD</v>
      </c>
      <c r="U2" s="4" t="str">
        <f>A2&amp;B2&amp;C2&amp;D2&amp;E2&amp;F2&amp;G2&amp;H2&amp;I2&amp;J2&amp;K2&amp;L2&amp;M2&amp;N2&amp;O2&amp;P2</f>
        <v>EOPYLA</v>
      </c>
      <c r="V2" s="4" t="str">
        <f>A2&amp;A3&amp;A4&amp;A5&amp;A6&amp;A7&amp;A8&amp;A9&amp;A10&amp;A11&amp;A12&amp;A13&amp;A14&amp;A15&amp;A16&amp;A17</f>
        <v>SIAEM</v>
      </c>
      <c r="X2" s="1" t="str">
        <f>IF(A2="",map($S$19,sSQ1&amp;DIAG1&amp;sRow1&amp;sCol1,""),"")</f>
        <v>DRUHC</v>
      </c>
      <c r="Y2" s="2">
        <f>IF(B2="",map($S$19,sSQ1&amp;sRow1&amp;sCol2,""),"")</f>
      </c>
      <c r="Z2" s="2" t="str">
        <f>IF(C2="",map($S$19,sSQ1&amp;sRow1&amp;sCol3,""),"")</f>
        <v>INDRUH</v>
      </c>
      <c r="AA2" s="3" t="str">
        <f>IF(D2="",map($S$19,sSQ1&amp;sRow1&amp;sCol4,""),"")</f>
        <v>INRHC</v>
      </c>
      <c r="AB2" s="1">
        <f>IF(E2="",map($S$19,sSQ2&amp;sRow1&amp;sCol5,""),"")</f>
      </c>
      <c r="AC2" s="2" t="str">
        <f>IF(F2="",map($S$19,sSQ2&amp;sRow1&amp;sCol6,""),"")</f>
        <v>MUHC</v>
      </c>
      <c r="AD2" s="2">
        <f>IF(G2="",map($S$19,sSQ2&amp;sRow1&amp;sCol7,""),"")</f>
      </c>
      <c r="AE2" s="3">
        <f>IF(H2="",map($S$19,sSQ2&amp;sRow1&amp;sCol8,""),"")</f>
      </c>
      <c r="AF2" s="1" t="str">
        <f>IF(I2="",map($S$19,sSQ3&amp;sRow1&amp;sCol9,""),"")</f>
        <v>MINRC</v>
      </c>
      <c r="AG2" s="2" t="str">
        <f>IF(J2="",map($S$19,sSQ3&amp;sRow1&amp;sCol10,""),"")</f>
        <v>SIDHC</v>
      </c>
      <c r="AH2" s="2" t="str">
        <f>IF(K2="",map($S$19,sSQ3&amp;sRow1&amp;Scol11,""),"")</f>
        <v>MSINDRHC</v>
      </c>
      <c r="AI2" s="3" t="str">
        <f>IF(L2="",map($S$19,sSQ3&amp;sRow1&amp;sCol12,""),"")</f>
        <v>MSIDRC</v>
      </c>
      <c r="AJ2" s="1">
        <f>IF(M2="",map($S$19,sSQ4&amp;sRow1&amp;sCol13,""),"")</f>
      </c>
      <c r="AK2" s="2">
        <f>IF(N2="",map($S$19,sSQ4&amp;sRow1&amp;sCol14,""),"")</f>
      </c>
      <c r="AL2" s="2" t="str">
        <f>IF(O2="",map($S$19,sSQ4&amp;sRow1&amp;sCol15,""),"")</f>
        <v>TSINRUC</v>
      </c>
      <c r="AM2" s="3" t="str">
        <f>IF(P2="",map($S$19,sSQ4&amp;dIAG2&amp;sRow1&amp;sCol16,""),"")</f>
        <v>MTINR</v>
      </c>
      <c r="AQ2" s="4" t="str">
        <f>Y3&amp;Z3&amp;AA3&amp;AB3&amp;Y4&amp;Z4&amp;AA4&amp;AB4&amp;Y5&amp;Z5&amp;AA5&amp;AB5&amp;Y6&amp;Z6&amp;AA6&amp;AB6</f>
        <v>OYRHYRLHCRUHESUHCOYALYNALYCLCEYNRLUHEYNRLHYRUH</v>
      </c>
    </row>
    <row r="3" spans="1:43" ht="19.5">
      <c r="A3" s="5"/>
      <c r="B3" s="11"/>
      <c r="C3" s="11" t="s">
        <v>11</v>
      </c>
      <c r="D3" s="12"/>
      <c r="E3" s="13" t="s">
        <v>20</v>
      </c>
      <c r="F3" s="6"/>
      <c r="G3" s="11"/>
      <c r="H3" s="12" t="s">
        <v>12</v>
      </c>
      <c r="I3" s="13"/>
      <c r="J3" s="11"/>
      <c r="K3" s="6" t="s">
        <v>10</v>
      </c>
      <c r="L3" s="12" t="s">
        <v>13</v>
      </c>
      <c r="M3" s="13"/>
      <c r="N3" s="11"/>
      <c r="O3" s="11"/>
      <c r="P3" s="7" t="s">
        <v>14</v>
      </c>
      <c r="R3" s="4" t="s">
        <v>22</v>
      </c>
      <c r="S3" s="4" t="str">
        <f>E2&amp;F2&amp;G2&amp;H2&amp;E3&amp;F3&amp;G3&amp;H3&amp;E4&amp;F4&amp;G4&amp;H4&amp;E5&amp;F5&amp;G5&amp;H5</f>
        <v>OPYINDR</v>
      </c>
      <c r="T3" s="4" t="str">
        <f>G3&amp;H3&amp;I3&amp;J3&amp;G4&amp;H4&amp;I4&amp;J4&amp;G5&amp;H5&amp;I5&amp;J5&amp;G6&amp;H6&amp;I6&amp;J6</f>
        <v>NDLUS</v>
      </c>
      <c r="U3" s="4" t="str">
        <f aca="true" t="shared" si="0" ref="U3:U17">A3&amp;B3&amp;C3&amp;D3&amp;E3&amp;F3&amp;G3&amp;H3&amp;I3&amp;J3&amp;K3&amp;L3&amp;M3&amp;N3&amp;O3&amp;P3</f>
        <v>MINATD</v>
      </c>
      <c r="V3" s="4" t="str">
        <f>B2&amp;B3&amp;B4&amp;B5&amp;B6&amp;B7&amp;B8&amp;B9&amp;B10&amp;B11&amp;B12&amp;B13&amp;B14&amp;B15&amp;B16&amp;B17</f>
        <v>ETDPMUCN</v>
      </c>
      <c r="X3" s="5" t="str">
        <f>IF(A3="",map($S$19,sSQ1&amp;sRow2&amp;sCol1,""),"")</f>
        <v>OYRLUHC</v>
      </c>
      <c r="Y3" s="11" t="str">
        <f>IF(B3="",map($S$19,sSQ1&amp;DIAG1&amp;sq1B&amp;sRow2&amp;sCol2,""),"")</f>
        <v>OYRH</v>
      </c>
      <c r="Z3" s="11">
        <f>IF(C3="",map($S$19,sSQ1&amp;sq1B&amp;sRow2&amp;sCol3,""),"")</f>
      </c>
      <c r="AA3" s="12" t="str">
        <f>IF(D3="",map($S$19,sSQ1&amp;sq1B&amp;sRow2&amp;sCol4,""),"")</f>
        <v>YRLHC</v>
      </c>
      <c r="AB3" s="13">
        <f>IF(E3="",map($S$19,sSQ2&amp;sq1B&amp;sRow2&amp;sCol5,""),"")</f>
      </c>
      <c r="AC3" s="6" t="str">
        <f>IF(F3="",map($S$19,sSQ2&amp;sRow2&amp;sCol6,""),"")</f>
        <v>EUHC</v>
      </c>
      <c r="AD3" s="11" t="str">
        <f>IF(G3="",map($S$19,sSQ2&amp;sq2B&amp;sRow2&amp;sCol7,""),"")</f>
        <v>HC</v>
      </c>
      <c r="AE3" s="12">
        <f>IF(H3="",map($S$19,sSQ2&amp;sRow2&amp;sCol8,""),"")</f>
      </c>
      <c r="AF3" s="13" t="str">
        <f>IF(I3="",map($S$19,sSQ3&amp;sq2B&amp;sRow2&amp;sCol9,""),"")</f>
        <v>EPYRC</v>
      </c>
      <c r="AG3" s="11" t="str">
        <f>IF(J3="",map($S$19,sSQ3&amp;sq2B&amp;sRow2&amp;sCol10,""),"")</f>
        <v>EPYHC</v>
      </c>
      <c r="AH3" s="6">
        <f>IF(K3="",map($S$19,sSQ3&amp;sRow2&amp;Scol11,""),"")</f>
      </c>
      <c r="AI3" s="12">
        <f>IF(L3="",map($S$19,sSQ3&amp;sRow2&amp;sCol12,""),"")</f>
      </c>
      <c r="AJ3" s="13" t="str">
        <f>IF(M3="",map($S$19,sSQ4&amp;sq3B&amp;sRow2&amp;sCol13,""),"")</f>
        <v>SRU</v>
      </c>
      <c r="AK3" s="11" t="str">
        <f>IF(N3="",map($S$19,sSQ4&amp;sq3B&amp;sRow2&amp;sCol14,""),"")</f>
        <v>PSRU</v>
      </c>
      <c r="AL3" s="11" t="str">
        <f>IF(O3="",map($S$19,sSQ4&amp;dIAG2&amp;sq3B&amp;sRow2&amp;sCol15,""),"")</f>
        <v>SRU</v>
      </c>
      <c r="AM3" s="7">
        <f>IF(P3="",map($S$19,sSQ4&amp;sRow2&amp;sCol16,""),"")</f>
      </c>
      <c r="AQ3" s="4" t="str">
        <f>AD3&amp;AE3&amp;AF3&amp;AG3&amp;AD4&amp;AE4&amp;AF4&amp;AG4&amp;AD5&amp;AE5&amp;AF5&amp;AG5&amp;AD6&amp;AE6&amp;AF6&amp;AG6</f>
        <v>HCEPYRCEPYHCMAHCEMIRCMTACTMPYICTYIRHETPORETPYI</v>
      </c>
    </row>
    <row r="4" spans="1:43" ht="19.5">
      <c r="A4" s="5"/>
      <c r="B4" s="11" t="s">
        <v>13</v>
      </c>
      <c r="C4" s="11"/>
      <c r="D4" s="12" t="s">
        <v>7</v>
      </c>
      <c r="E4" s="13"/>
      <c r="F4" s="6"/>
      <c r="G4" s="11"/>
      <c r="H4" s="12" t="s">
        <v>14</v>
      </c>
      <c r="I4" s="13"/>
      <c r="J4" s="11" t="s">
        <v>9</v>
      </c>
      <c r="K4" s="6"/>
      <c r="L4" s="12" t="s">
        <v>6</v>
      </c>
      <c r="M4" s="13"/>
      <c r="N4" s="11"/>
      <c r="O4" s="11"/>
      <c r="P4" s="7" t="s">
        <v>8</v>
      </c>
      <c r="R4" s="4" t="s">
        <v>23</v>
      </c>
      <c r="S4" s="4" t="str">
        <f>I2&amp;J2&amp;K2&amp;L2&amp;I3&amp;J3&amp;K3&amp;L3&amp;I4&amp;J4&amp;K4&amp;L4&amp;I5&amp;J5&amp;K5&amp;L5</f>
        <v>ATLOU</v>
      </c>
      <c r="T4" s="4" t="str">
        <f>L3&amp;M3&amp;N3&amp;O3&amp;L4&amp;M4&amp;N4&amp;O4&amp;L5&amp;M5&amp;N5&amp;O5&amp;L6&amp;M6&amp;N6&amp;O6</f>
        <v>TOEHAC</v>
      </c>
      <c r="U4" s="4" t="str">
        <f t="shared" si="0"/>
        <v>TPDLOY</v>
      </c>
      <c r="V4" s="4" t="str">
        <f>C2&amp;C3&amp;C4&amp;C5&amp;C6&amp;C7&amp;C8&amp;C9&amp;C10&amp;C11&amp;C12&amp;C13&amp;C14&amp;C15&amp;C16&amp;C17</f>
        <v>MTOC</v>
      </c>
      <c r="X4" s="5" t="str">
        <f>IF(A4="",map($S$19,sSQ1&amp;sRow3&amp;sCol1,""),"")</f>
        <v>NRUHC</v>
      </c>
      <c r="Y4" s="11">
        <f>IF(B4="",map($S$19,sSQ1&amp;sq1B&amp;sRow3&amp;sCol2,""),"")</f>
      </c>
      <c r="Z4" s="11" t="str">
        <f>IF(C4="",map($S$19,sSQ1&amp;DIAG1&amp;sq1B&amp;sRow3&amp;sCol3,""),"")</f>
        <v>RUH</v>
      </c>
      <c r="AA4" s="12">
        <f>IF(D4="",map($S$19,sSQ1&amp;sq1B&amp;sRow3&amp;sCol4,""),"")</f>
      </c>
      <c r="AB4" s="13" t="str">
        <f>IF(E4="",map($S$19,sSQ2&amp;sq1B&amp;sRow3&amp;sCol5,""),"")</f>
        <v>ESUHC</v>
      </c>
      <c r="AC4" s="6" t="str">
        <f>IF(F4="",map($S$19,sSQ2&amp;sRow3&amp;sCol6,""),"")</f>
        <v>EMAUHC</v>
      </c>
      <c r="AD4" s="11" t="str">
        <f>IF(G4="",map($S$19,sSQ2&amp;sq2B&amp;sRow3&amp;sCol7,""),"")</f>
        <v>MAHC</v>
      </c>
      <c r="AE4" s="12">
        <f>IF(H4="",map($S$19,sSQ2&amp;sRow3&amp;sCol8,""),"")</f>
      </c>
      <c r="AF4" s="13" t="str">
        <f>IF(I4="",map($S$19,sSQ3&amp;sq2B&amp;sRow3&amp;sCol9,""),"")</f>
        <v>EMIRC</v>
      </c>
      <c r="AG4" s="11">
        <f>IF(J4="",map($S$19,sSQ3&amp;sRow3&amp;sCol10,""),"")</f>
      </c>
      <c r="AH4" s="6" t="str">
        <f>IF(K4="",map($S$19,sSQ3&amp;sRow3&amp;Scol11,""),"")</f>
        <v>MSINRHC</v>
      </c>
      <c r="AI4" s="12">
        <f>IF(L4="",map($S$19,sSQ3&amp;sRow3&amp;sCol12,""),"")</f>
      </c>
      <c r="AJ4" s="13" t="str">
        <f>IF(M4="",map($S$19,sSQ4&amp;sq3B&amp;sRow3&amp;sCol13,""),"")</f>
        <v>SNRU</v>
      </c>
      <c r="AK4" s="11" t="str">
        <f>IF(N4="",map($S$19,sSQ4&amp;dIAG2&amp;sq3B&amp;sRow3&amp;sCol14,""),"")</f>
        <v>MSINRU</v>
      </c>
      <c r="AL4" s="11" t="str">
        <f>IF(O4="",map($S$19,sSQ4&amp;sq3B&amp;sRow3&amp;sCol15,""),"")</f>
        <v>SINRU</v>
      </c>
      <c r="AM4" s="7">
        <f>IF(P4="",map($S$19,sSQ4&amp;sRow3&amp;sCol16,""),"")</f>
      </c>
      <c r="AQ4" s="4" t="str">
        <f>AI3&amp;AJ3&amp;AK3&amp;AL3&amp;AI4&amp;AJ4&amp;AK4&amp;AL4&amp;AI5&amp;AJ5&amp;AK5&amp;AL5&amp;AI6&amp;AJ6&amp;AK6&amp;AL6</f>
        <v>SRUPSRUSRUSNRUMSINRUSINRUMPYIDMPINYNRUINRLU</v>
      </c>
    </row>
    <row r="5" spans="1:43" ht="20.25" thickBot="1">
      <c r="A5" s="8" t="s">
        <v>15</v>
      </c>
      <c r="B5" s="14"/>
      <c r="C5" s="14"/>
      <c r="D5" s="15"/>
      <c r="E5" s="16"/>
      <c r="F5" s="9" t="s">
        <v>16</v>
      </c>
      <c r="G5" s="14"/>
      <c r="H5" s="15"/>
      <c r="I5" s="16"/>
      <c r="J5" s="14" t="s">
        <v>17</v>
      </c>
      <c r="K5" s="9"/>
      <c r="L5" s="15"/>
      <c r="M5" s="16" t="s">
        <v>5</v>
      </c>
      <c r="N5" s="14"/>
      <c r="O5" s="14" t="s">
        <v>19</v>
      </c>
      <c r="P5" s="10"/>
      <c r="R5" s="4" t="s">
        <v>24</v>
      </c>
      <c r="S5" s="4" t="str">
        <f>M2&amp;N2&amp;O2&amp;P2&amp;M3&amp;N3&amp;O3&amp;P3&amp;M4&amp;N4&amp;O4&amp;P4&amp;M5&amp;N5&amp;O5&amp;P5</f>
        <v>LADYEH</v>
      </c>
      <c r="T5" s="4" t="str">
        <f>B8&amp;C8&amp;D8&amp;E8&amp;B9&amp;C9&amp;D9&amp;E9&amp;B10&amp;C10&amp;D10&amp;E10&amp;B11&amp;C11&amp;D11&amp;E11</f>
        <v>TNMUAO</v>
      </c>
      <c r="U5" s="4" t="str">
        <f t="shared" si="0"/>
        <v>SRUEH</v>
      </c>
      <c r="V5" s="4" t="str">
        <f>D2&amp;D3&amp;D4&amp;D5&amp;D6&amp;D7&amp;D8&amp;D9&amp;D10&amp;D11&amp;D12&amp;D13&amp;D14&amp;D15&amp;D16&amp;D17</f>
        <v>PODUS</v>
      </c>
      <c r="X5" s="8">
        <f>IF(A5="",map($S$19,sSQ1&amp;sRow4&amp;sCol1,""),"")</f>
      </c>
      <c r="Y5" s="14" t="str">
        <f>IF(B5="",map($S$19,sSQ1&amp;sq1B&amp;sRow4&amp;sCol2,""),"")</f>
        <v>OYAL</v>
      </c>
      <c r="Z5" s="14" t="str">
        <f>IF(C5="",map($S$19,sSQ1&amp;sq1B&amp;sRow4&amp;sCol3,""),"")</f>
        <v>YNAL</v>
      </c>
      <c r="AA5" s="15" t="str">
        <f>IF(D5="",map($S$19,sSQ1&amp;DIAG1&amp;sq1B&amp;sRow4&amp;sCol4,""),"")</f>
        <v>YC</v>
      </c>
      <c r="AB5" s="16" t="str">
        <f>IF(E5="",map($S$19,sSQ2&amp;sq1B&amp;sRow4&amp;sCol5,""),"")</f>
        <v>LC</v>
      </c>
      <c r="AC5" s="9">
        <f>IF(F5="",map($S$19,sSQ2&amp;sRow4&amp;sCol6,""),"")</f>
      </c>
      <c r="AD5" s="14" t="str">
        <f>IF(G5="",map($S$19,sSQ2&amp;sq2B&amp;sRow4&amp;sCol7,""),"")</f>
        <v>MTAC</v>
      </c>
      <c r="AE5" s="15" t="str">
        <f>IF(H5="",map($S$19,sSQ2&amp;sq2B&amp;sRow4&amp;sCol8,""),"")</f>
        <v>T</v>
      </c>
      <c r="AF5" s="16" t="str">
        <f>IF(I5="",map($S$19,sSQ3&amp;sq2B&amp;sRow4&amp;sCol9,""),"")</f>
        <v>MPYIC</v>
      </c>
      <c r="AG5" s="14">
        <f>IF(J5="",map($S$19,sSQ3&amp;sRow4&amp;sCol10,""),"")</f>
      </c>
      <c r="AH5" s="9" t="str">
        <f>IF(K5="",map($S$19,sSQ3&amp;sRow4&amp;Scol11,""),"")</f>
        <v>MPYINDC</v>
      </c>
      <c r="AI5" s="15" t="str">
        <f>IF(L5="",map($S$19,sSQ3&amp;sq3B&amp;sRow4&amp;sCol12,""),"")</f>
        <v>MPYID</v>
      </c>
      <c r="AJ5" s="16">
        <f>IF(M5="",map($S$19,sSQ4&amp;sq3B&amp;sRow4&amp;sCol13,""),"")</f>
      </c>
      <c r="AK5" s="14" t="str">
        <f>IF(N5="",map($S$19,sSQ4&amp;sq3B&amp;sRow4&amp;sCol14,""),"")</f>
        <v>MPIN</v>
      </c>
      <c r="AL5" s="14">
        <f>IF(O5="",map($S$19,sSQ4&amp;sRow4&amp;sCol15,""),"")</f>
      </c>
      <c r="AM5" s="10" t="str">
        <f>IF(P5="",map($S$19,sSQ4&amp;sRow4&amp;sCol16,""),"")</f>
        <v>MTOIN</v>
      </c>
      <c r="AQ5" s="4" t="str">
        <f>Y8&amp;Z8&amp;AA8&amp;AB8&amp;Y9&amp;Z9&amp;AA9&amp;AB9&amp;Y10&amp;Z10&amp;AA10&amp;AB10&amp;Y11&amp;Z11&amp;AA11&amp;AB11</f>
        <v>SYRLEYRLCEYRLHEYRLHCEYDRHCEPSLHELHSYIRLPSYIRLPSYDRL</v>
      </c>
    </row>
    <row r="6" spans="1:43" ht="20.25" thickTop="1">
      <c r="A6" s="1"/>
      <c r="B6" s="17" t="s">
        <v>14</v>
      </c>
      <c r="C6" s="17"/>
      <c r="D6" s="18"/>
      <c r="E6" s="19"/>
      <c r="F6" s="2"/>
      <c r="G6" s="17"/>
      <c r="H6" s="18"/>
      <c r="I6" s="19" t="s">
        <v>15</v>
      </c>
      <c r="J6" s="17"/>
      <c r="K6" s="2"/>
      <c r="L6" s="18" t="s">
        <v>10</v>
      </c>
      <c r="M6" s="19"/>
      <c r="N6" s="17" t="s">
        <v>18</v>
      </c>
      <c r="O6" s="17"/>
      <c r="P6" s="3"/>
      <c r="R6" s="4" t="s">
        <v>25</v>
      </c>
      <c r="S6" s="4" t="str">
        <f>A6&amp;B6&amp;C6&amp;D6&amp;A7&amp;B7&amp;C7&amp;D7&amp;A8&amp;B8&amp;C8&amp;D8&amp;A9&amp;B9&amp;C9&amp;D9</f>
        <v>DPITM</v>
      </c>
      <c r="T6" s="4" t="str">
        <f>G8&amp;H8&amp;I8&amp;J8&amp;G9&amp;H9&amp;I9&amp;J9&amp;G10&amp;H10&amp;I10&amp;J10&amp;G11&amp;H11&amp;I11&amp;J11</f>
        <v>HAOR</v>
      </c>
      <c r="U6" s="4" t="str">
        <f t="shared" si="0"/>
        <v>DSAC</v>
      </c>
      <c r="V6" s="4" t="str">
        <f>E2&amp;E3&amp;E4&amp;E5&amp;E6&amp;E7&amp;E8&amp;E9&amp;E10&amp;E11&amp;E12&amp;E13&amp;E14&amp;E15&amp;E16&amp;E17</f>
        <v>OINA</v>
      </c>
      <c r="X6" s="1" t="str">
        <f>IF(A6="",map($S$19,sSQ5&amp;sRow5&amp;sCol1,""),"")</f>
        <v>OYNRLUH</v>
      </c>
      <c r="Y6" s="17">
        <f>IF(B6="",map($S$19,sSQ5&amp;sq1B&amp;sRow5&amp;sCol2,""),"")</f>
      </c>
      <c r="Z6" s="17" t="str">
        <f>IF(C6="",map($S$19,sSQ5&amp;sq1B&amp;sRow5&amp;sCol3,""),"")</f>
        <v>EYNRLUH</v>
      </c>
      <c r="AA6" s="18" t="str">
        <f>IF(D6="",map($S$19,sSQ5&amp;sq1B&amp;sRow5&amp;sCol4,""),"")</f>
        <v>EYNRLH</v>
      </c>
      <c r="AB6" s="19" t="str">
        <f>IF(E6="",map($S$19,sSQ6&amp;DIAG1&amp;sq1B&amp;sRow5&amp;sCol5,""),"")</f>
        <v>YRUH</v>
      </c>
      <c r="AC6" s="2" t="str">
        <f>IF(F6="",map($S$19,sSQ6&amp;sRow5&amp;sCol6,""),"")</f>
        <v>EPOYIUH</v>
      </c>
      <c r="AD6" s="17" t="str">
        <f>IF(G6="",map($S$19,sSQ6&amp;sq2B&amp;sRow5&amp;sCol7,""),"")</f>
        <v>TYIRH</v>
      </c>
      <c r="AE6" s="18" t="str">
        <f>IF(H6="",map($S$19,sSQ6&amp;sq2B&amp;sRow5&amp;sCol8,""),"")</f>
        <v>ETPOR</v>
      </c>
      <c r="AF6" s="19">
        <f>IF(I6="",map($S$19,sSQ7&amp;sRow5&amp;sCol9,""),"")</f>
      </c>
      <c r="AG6" s="17" t="str">
        <f>IF(J6="",map($S$19,sSQ7&amp;sq2B&amp;sRow5&amp;sCol10,""),"")</f>
        <v>ETPYI</v>
      </c>
      <c r="AH6" s="2" t="str">
        <f>IF(K6="",map($S$19,sSQ7&amp;sRow5&amp;Scol11,""),"")</f>
        <v>MTPYINRL</v>
      </c>
      <c r="AI6" s="18">
        <f>IF(L6="",map($S$19,sSQ7&amp;sRow5&amp;sCol12,""),"")</f>
      </c>
      <c r="AJ6" s="19" t="str">
        <f>IF(M6="",map($S$19,sSQ8&amp;sq3B&amp;sRow5&amp;sCol13,""),"")</f>
        <v>YNRU</v>
      </c>
      <c r="AK6" s="17">
        <f>IF(N6="",map($S$19,sSQ8&amp;sRow5&amp;sCol14,""),"")</f>
      </c>
      <c r="AL6" s="17" t="str">
        <f>IF(O6="",map($S$19,sSQ8&amp;sq3B&amp;sRow5&amp;sCol15,""),"")</f>
        <v>INRLU</v>
      </c>
      <c r="AM6" s="3" t="str">
        <f>IF(P6="",map($S$19,sSQ8&amp;sRow5&amp;sCol16,""),"")</f>
        <v>EMOINR</v>
      </c>
      <c r="AQ6" s="4" t="str">
        <f>AD8&amp;AE8&amp;AF8&amp;AG8&amp;AD9&amp;AE9&amp;AF9&amp;AG9&amp;AD10&amp;AE10&amp;AF10&amp;AG10&amp;AD11&amp;AE11&amp;AF11&amp;AG11</f>
        <v>YDCEPPYDCYIDUCYINLCEYIDCTPSLMTCMTSYNDUTPSLUMTPYILUTSYID</v>
      </c>
    </row>
    <row r="7" spans="1:43" ht="19.5">
      <c r="A7" s="5"/>
      <c r="B7" s="6" t="s">
        <v>7</v>
      </c>
      <c r="C7" s="6"/>
      <c r="D7" s="7"/>
      <c r="E7" s="5"/>
      <c r="F7" s="6" t="s">
        <v>9</v>
      </c>
      <c r="G7" s="6"/>
      <c r="H7" s="7" t="s">
        <v>11</v>
      </c>
      <c r="I7" s="5"/>
      <c r="J7" s="6"/>
      <c r="K7" s="6" t="s">
        <v>6</v>
      </c>
      <c r="L7" s="7"/>
      <c r="M7" s="5" t="s">
        <v>19</v>
      </c>
      <c r="N7" s="6"/>
      <c r="O7" s="6"/>
      <c r="P7" s="7" t="s">
        <v>15</v>
      </c>
      <c r="R7" s="4" t="s">
        <v>26</v>
      </c>
      <c r="S7" s="4" t="str">
        <f>E6&amp;F6&amp;G6&amp;H6&amp;E7&amp;F7&amp;G7&amp;H7&amp;E8&amp;F8&amp;G8&amp;H8&amp;E9&amp;F9&amp;G9&amp;H9</f>
        <v>LMNSA</v>
      </c>
      <c r="T7" s="4" t="str">
        <f>L8&amp;M8&amp;N8&amp;O8&amp;L9&amp;M9&amp;N9&amp;O9&amp;L10&amp;M10&amp;N10&amp;O10&amp;L11&amp;M11&amp;N11&amp;O11</f>
        <v>PTIYHE</v>
      </c>
      <c r="U7" s="4" t="str">
        <f t="shared" si="0"/>
        <v>PLMOHS</v>
      </c>
      <c r="V7" s="4" t="str">
        <f>F2&amp;F3&amp;F4&amp;F5&amp;F6&amp;F7&amp;F8&amp;F9&amp;F10&amp;F11&amp;F12&amp;F13&amp;F14&amp;F15&amp;F16&amp;F17</f>
        <v>RLSTD</v>
      </c>
      <c r="X7" s="5" t="str">
        <f>IF(A7="",map($S$19,sSQ5&amp;sRow6&amp;sCol1,""),"")</f>
        <v>YNRUC</v>
      </c>
      <c r="Y7" s="6">
        <f>IF(B7="",map($S$19,sSQ5&amp;sRow6&amp;sCol2,""),"")</f>
      </c>
      <c r="Z7" s="6" t="str">
        <f>IF(C7="",map($S$19,sSQ5&amp;sRow6&amp;sCol3,""),"")</f>
        <v>EYNRAU</v>
      </c>
      <c r="AA7" s="7" t="str">
        <f>IF(D7="",map($S$19,sSQ5&amp;sRow6&amp;sCol4,""),"")</f>
        <v>EYNRAC</v>
      </c>
      <c r="AB7" s="5" t="str">
        <f>IF(E7="",map($S$19,sSQ6&amp;sRow6&amp;sCol5,""),"")</f>
        <v>ETYDRUC</v>
      </c>
      <c r="AC7" s="6">
        <f>IF(F7="",map($S$19,sSQ6&amp;sRow6&amp;sCol6,""),"")</f>
      </c>
      <c r="AD7" s="6" t="str">
        <f>IF(G7="",map($S$19,sSQ6&amp;sRow6&amp;sCol7,""),"")</f>
        <v>TYIDRUC</v>
      </c>
      <c r="AE7" s="7">
        <f>IF(H7="",map($S$19,sSQ6&amp;sRow6&amp;sCol8,""),"")</f>
      </c>
      <c r="AF7" s="5" t="str">
        <f>IF(I7="",map($S$19,sSQ7&amp;sRow6&amp;sCol9,""),"")</f>
        <v>ETYINRC</v>
      </c>
      <c r="AG7" s="6" t="str">
        <f>IF(J7="",map($S$19,sSQ7&amp;sRow6&amp;sCol10,""),"")</f>
        <v>ETYIDC</v>
      </c>
      <c r="AH7" s="6">
        <f>IF(K7="",map($S$19,sSQ7&amp;sRow6&amp;Scol11,""),"")</f>
      </c>
      <c r="AI7" s="7" t="str">
        <f>IF(L7="",map($S$19,sSQ7&amp;sRow6&amp;sCol12,""),"")</f>
        <v>EYIDRC</v>
      </c>
      <c r="AJ7" s="5">
        <f>IF(M7="",map($S$19,sSQ8&amp;sRow6&amp;sCol13,""),"")</f>
      </c>
      <c r="AK7" s="6" t="str">
        <f>IF(N7="",map($S$19,sSQ8&amp;sRow6&amp;sCol14,""),"")</f>
        <v>EINDRU</v>
      </c>
      <c r="AL7" s="6" t="str">
        <f>IF(O7="",map($S$19,sSQ8&amp;sRow6&amp;sCol15,""),"")</f>
        <v>INRAU</v>
      </c>
      <c r="AM7" s="7">
        <f>IF(P7="",map($S$19,sSQ8&amp;sRow6&amp;sCol16,""),"")</f>
      </c>
      <c r="AQ7" s="4" t="str">
        <f>AI8&amp;AJ8&amp;AK8&amp;AL8&amp;AI9&amp;AJ9&amp;AK9&amp;AL9&amp;AI10&amp;AJ10&amp;AK10&amp;AL10&amp;AI11&amp;AJ11&amp;AK11&amp;AL11</f>
        <v>MDRCODRAMODRLORALDRCONRLUMSDCSNDLSNDRUSNDRLU</v>
      </c>
    </row>
    <row r="8" spans="1:43" ht="19.5">
      <c r="A8" s="5" t="s">
        <v>20</v>
      </c>
      <c r="B8" s="11"/>
      <c r="C8" s="11" t="s">
        <v>13</v>
      </c>
      <c r="D8" s="12"/>
      <c r="E8" s="13" t="s">
        <v>12</v>
      </c>
      <c r="F8" s="6"/>
      <c r="G8" s="11"/>
      <c r="H8" s="12"/>
      <c r="I8" s="13" t="s">
        <v>19</v>
      </c>
      <c r="J8" s="11"/>
      <c r="K8" s="6" t="s">
        <v>17</v>
      </c>
      <c r="L8" s="12"/>
      <c r="M8" s="13"/>
      <c r="N8" s="11"/>
      <c r="O8" s="11"/>
      <c r="P8" s="7"/>
      <c r="R8" s="4" t="s">
        <v>27</v>
      </c>
      <c r="S8" s="4" t="str">
        <f>I6&amp;J6&amp;K6&amp;L6&amp;I7&amp;J7&amp;K7&amp;L7&amp;I8&amp;J8&amp;K8&amp;L8&amp;I9&amp;J9&amp;K9&amp;L9</f>
        <v>SAOHU</v>
      </c>
      <c r="T8" s="4" t="str">
        <f>B13&amp;C13&amp;D13&amp;E13&amp;B14&amp;C14&amp;D14&amp;E14&amp;B15&amp;C15&amp;D15&amp;E15&amp;B16&amp;C16&amp;D16&amp;E16</f>
        <v>CONU</v>
      </c>
      <c r="U8" s="4" t="str">
        <f t="shared" si="0"/>
        <v>ITNHU</v>
      </c>
      <c r="V8" s="4" t="str">
        <f>G2&amp;G3&amp;G4&amp;G5&amp;G6&amp;G7&amp;G8&amp;G9&amp;G10&amp;G11&amp;G12&amp;G13&amp;G14&amp;G15&amp;G16&amp;G17</f>
        <v>POEL</v>
      </c>
      <c r="X8" s="5">
        <f>IF(A8="",map($S$19,sSQ5&amp;sRow7&amp;sCol1,""),"")</f>
      </c>
      <c r="Y8" s="11" t="str">
        <f>IF(B8="",map($S$19,sSQ5&amp;sq4B&amp;sRow7&amp;sCol2,""),"")</f>
        <v>SYRL</v>
      </c>
      <c r="Z8" s="11">
        <f>IF(C8="",map($S$19,sSQ5&amp;sq4B&amp;sRow7&amp;sCol3,""),"")</f>
      </c>
      <c r="AA8" s="12" t="str">
        <f>IF(D8="",map($S$19,sSQ5&amp;sq4B&amp;sRow7&amp;sCol4,""),"")</f>
        <v>EYRLC</v>
      </c>
      <c r="AB8" s="13">
        <f>IF(E8="",map($S$19,sSQ6&amp;sq4B&amp;sRow7&amp;sCol5,""),"")</f>
      </c>
      <c r="AC8" s="6" t="str">
        <f>IF(F8="",map($S$19,sSQ6&amp;sRow7&amp;sCol6,""),"")</f>
        <v>EPOYC</v>
      </c>
      <c r="AD8" s="11" t="str">
        <f>IF(G8="",map($S$19,sSQ6&amp;DIAG1&amp;sq5B&amp;sRow7&amp;sCol7,""),"")</f>
        <v>YDC</v>
      </c>
      <c r="AE8" s="12" t="str">
        <f>IF(H8="",map($S$19,sSQ6&amp;sq5B&amp;sRow7&amp;sCol8,""),"")</f>
        <v>EP</v>
      </c>
      <c r="AF8" s="13">
        <f>IF(I8="",map($S$19,sSQ7&amp;sRow7&amp;sCol9,""),"")</f>
      </c>
      <c r="AG8" s="11" t="str">
        <f>IF(J8="",map($S$19,sSQ7&amp;dIAG2&amp;sq5B&amp;sRow7&amp;sCol10,""),"")</f>
        <v>PYDC</v>
      </c>
      <c r="AH8" s="6">
        <f>IF(K8="",map($S$19,sSQ7&amp;sRow7&amp;Scol11,""),"")</f>
      </c>
      <c r="AI8" s="12" t="str">
        <f>IF(L8="",map($S$19,sSQ7&amp;sq6b&amp;sRow7&amp;sCol12,""),"")</f>
        <v>MDRC</v>
      </c>
      <c r="AJ8" s="13" t="str">
        <f>IF(M8="",map($S$19,sSQ8&amp;sq6b&amp;sRow7&amp;sCol13,""),"")</f>
        <v>ODRA</v>
      </c>
      <c r="AK8" s="11" t="str">
        <f>IF(N8="",map($S$19,sSQ8&amp;sq6b&amp;sRow7&amp;sCol14,""),"")</f>
        <v>MODRL</v>
      </c>
      <c r="AL8" s="11" t="str">
        <f>IF(O8="",map($S$19,sSQ8&amp;sq6b&amp;sRow7&amp;sCol15,""),"")</f>
        <v>ORAL</v>
      </c>
      <c r="AM8" s="7" t="str">
        <f>IF(P8="",map($S$19,sSQ8&amp;sRow7&amp;sCol16,""),"")</f>
        <v>EMORA</v>
      </c>
      <c r="AQ8" s="4" t="str">
        <f>Y13&amp;Z13&amp;AA13&amp;AB13&amp;Y14&amp;Z14&amp;AA14&amp;AB14&amp;Y15&amp;Z15&amp;AA15&amp;AB15&amp;Y16&amp;Z16&amp;AA16&amp;AB16</f>
        <v>PSYIRLHMTYIRLHMTPSYDRLHIRALHIRLHPSRPYIDRTYIREPSYRYIRHYIRAHESYR</v>
      </c>
    </row>
    <row r="9" spans="1:43" ht="20.25" thickBot="1">
      <c r="A9" s="8"/>
      <c r="B9" s="14" t="s">
        <v>11</v>
      </c>
      <c r="C9" s="14"/>
      <c r="D9" s="15"/>
      <c r="E9" s="16"/>
      <c r="F9" s="9" t="s">
        <v>15</v>
      </c>
      <c r="G9" s="14"/>
      <c r="H9" s="15" t="s">
        <v>10</v>
      </c>
      <c r="I9" s="16"/>
      <c r="J9" s="14"/>
      <c r="K9" s="9"/>
      <c r="L9" s="15"/>
      <c r="M9" s="16" t="s">
        <v>7</v>
      </c>
      <c r="N9" s="14" t="s">
        <v>13</v>
      </c>
      <c r="O9" s="14"/>
      <c r="P9" s="10"/>
      <c r="R9" s="4" t="s">
        <v>28</v>
      </c>
      <c r="S9" s="4" t="str">
        <f>M6&amp;N6&amp;O6&amp;P6&amp;M7&amp;N7&amp;O7&amp;P7&amp;M8&amp;N8&amp;O8&amp;P8&amp;M9&amp;N9&amp;O9&amp;P9</f>
        <v>CHSPT</v>
      </c>
      <c r="T9" s="4" t="str">
        <f>G13&amp;H13&amp;I13&amp;J13&amp;G14&amp;H14&amp;I14&amp;J14&amp;G15&amp;H15&amp;I15&amp;J15&amp;G16&amp;H16&amp;I16&amp;J16</f>
        <v>EDMHAC</v>
      </c>
      <c r="U9" s="4" t="str">
        <f t="shared" si="0"/>
        <v>MSAPT</v>
      </c>
      <c r="V9" s="4" t="str">
        <f>H2&amp;H3&amp;H4&amp;H5&amp;H6&amp;H7&amp;H8&amp;H9&amp;H10&amp;H11&amp;H12&amp;H13&amp;H14&amp;H15&amp;H16&amp;H17</f>
        <v>YNDMAIHC</v>
      </c>
      <c r="X9" s="8" t="str">
        <f>IF(A9="",map($S$19,sSQ5&amp;srow8&amp;sCol1,""),"")</f>
        <v>OYNRLUHC</v>
      </c>
      <c r="Y9" s="14">
        <f>IF(B9="",map($S$19,sSQ5&amp;sq4B&amp;srow8&amp;sCol2,""),"")</f>
      </c>
      <c r="Z9" s="14" t="str">
        <f>IF(C9="",map($S$19,sSQ5&amp;sq4B&amp;srow8&amp;sCol3,""),"")</f>
        <v>EYRLH</v>
      </c>
      <c r="AA9" s="15" t="str">
        <f>IF(D9="",map($S$19,sSQ5&amp;sq4B&amp;srow8&amp;sCol4,""),"")</f>
        <v>EYRLHC</v>
      </c>
      <c r="AB9" s="16" t="str">
        <f>IF(E9="",map($S$19,sSQ6&amp;sq4B&amp;srow8&amp;sCol5,""),"")</f>
        <v>EYDRHC</v>
      </c>
      <c r="AC9" s="9">
        <f>IF(F9="",map($S$19,sSQ6&amp;srow8&amp;sCol6,""),"")</f>
      </c>
      <c r="AD9" s="14" t="str">
        <f>IF(G9="",map($S$19,sSQ6&amp;sq5B&amp;srow8&amp;sCol7,""),"")</f>
        <v>YIDUC</v>
      </c>
      <c r="AE9" s="15">
        <f>IF(H9="",map($S$19,sSQ6&amp;srow8&amp;sCol8,""),"")</f>
      </c>
      <c r="AF9" s="16" t="str">
        <f>IF(I9="",map($S$19,sSQ7&amp;dIAG2&amp;sq5B&amp;srow8&amp;sCol9,""),"")</f>
        <v>YINLC</v>
      </c>
      <c r="AG9" s="14" t="str">
        <f>IF(J9="",map($S$19,sSQ7&amp;sq5B&amp;srow8&amp;sCol10,""),"")</f>
        <v>EYIDC</v>
      </c>
      <c r="AH9" s="9" t="str">
        <f>IF(K9="",map($S$19,sSQ7&amp;srow8&amp;Scol11,""),"")</f>
        <v>YINDRLC</v>
      </c>
      <c r="AI9" s="15" t="str">
        <f>IF(L9="",map($S$19,sSQ7&amp;sq6b&amp;srow8&amp;sCol12,""),"")</f>
        <v>DRC</v>
      </c>
      <c r="AJ9" s="16">
        <f>IF(M9="",map($S$19,sSQ8&amp;srow8&amp;sCol13,""),"")</f>
      </c>
      <c r="AK9" s="14">
        <f>IF(N9="",map($S$19,sSQ8&amp;srow8&amp;sCol14,""),"")</f>
      </c>
      <c r="AL9" s="14" t="str">
        <f>IF(O9="",map($S$19,sSQ8&amp;sq6b&amp;srow8&amp;sCol15,""),"")</f>
        <v>ONRLU</v>
      </c>
      <c r="AM9" s="10" t="str">
        <f>IF(P9="",map($S$19,sSQ8&amp;srow8&amp;sCol16,""),"")</f>
        <v>EOINR</v>
      </c>
      <c r="AQ9" s="4" t="str">
        <f>AD13&amp;AE13&amp;AF13&amp;AG13&amp;AD14&amp;AE14&amp;AF14&amp;AG14&amp;AD15&amp;AE15&amp;AF15&amp;AG15&amp;AD16&amp;AE16&amp;AF16&amp;AG16</f>
        <v>TPSRLUTPOYILUTPSOYISINRPSRSYIRUTPOYIRUSYINRTOYIRTSOYI</v>
      </c>
    </row>
    <row r="10" spans="1:43" ht="20.25" thickTop="1">
      <c r="A10" s="1"/>
      <c r="B10" s="17" t="s">
        <v>17</v>
      </c>
      <c r="C10" s="17"/>
      <c r="D10" s="18"/>
      <c r="E10" s="19" t="s">
        <v>10</v>
      </c>
      <c r="F10" s="2"/>
      <c r="G10" s="17" t="s">
        <v>6</v>
      </c>
      <c r="H10" s="18"/>
      <c r="I10" s="19"/>
      <c r="J10" s="17" t="s">
        <v>16</v>
      </c>
      <c r="K10" s="2"/>
      <c r="L10" s="18"/>
      <c r="M10" s="19" t="s">
        <v>20</v>
      </c>
      <c r="N10" s="17"/>
      <c r="O10" s="17" t="s">
        <v>8</v>
      </c>
      <c r="P10" s="3"/>
      <c r="R10" s="4" t="s">
        <v>29</v>
      </c>
      <c r="S10" s="4" t="str">
        <f>A10&amp;B10&amp;C10&amp;D10&amp;A11&amp;B11&amp;C11&amp;D11&amp;A12&amp;B12&amp;C12&amp;D12&amp;A13&amp;B13&amp;C13&amp;D13</f>
        <v>UAODC</v>
      </c>
      <c r="T10" s="4" t="str">
        <f>L13&amp;M13&amp;N13&amp;O13&amp;L14&amp;M14&amp;N14&amp;O14&amp;L15&amp;M15&amp;N15&amp;O15&amp;L16&amp;M16&amp;N16&amp;O16</f>
        <v>NYCMLP</v>
      </c>
      <c r="U10" s="4" t="str">
        <f t="shared" si="0"/>
        <v>UAORIY</v>
      </c>
      <c r="V10" s="4" t="str">
        <f>I2&amp;I3&amp;I4&amp;I5&amp;I6&amp;I7&amp;I8&amp;I9&amp;I10&amp;I11&amp;I12&amp;I13&amp;I14&amp;I15&amp;I16&amp;I17</f>
        <v>SHD</v>
      </c>
      <c r="X10" s="1" t="str">
        <f>IF(A10="",map($S$19,sSQ9&amp;sRow9&amp;sCol1,""),"")</f>
        <v>TPNLH</v>
      </c>
      <c r="Y10" s="17">
        <f>IF(B10="",map($S$19,sSQ9&amp;sRow9&amp;sCol2,""),"")</f>
      </c>
      <c r="Z10" s="17" t="str">
        <f>IF(C10="",map($S$19,sSQ9&amp;sq4B&amp;sRow9&amp;sCol3,""),"")</f>
        <v>EPSLH</v>
      </c>
      <c r="AA10" s="18" t="str">
        <f>IF(D10="",map($S$19,sSQ9&amp;sq4B&amp;sRow9&amp;sCol4,""),"")</f>
        <v>ELH</v>
      </c>
      <c r="AB10" s="19">
        <f>IF(E10="",map($S$19,sSQ10&amp;sRow9&amp;sCol5,""),"")</f>
      </c>
      <c r="AC10" s="2" t="str">
        <f>IF(F10="",map($S$19,sSQ10&amp;sRow9&amp;sCol6,""),"")</f>
        <v>MPNHC</v>
      </c>
      <c r="AD10" s="17">
        <f>IF(G10="",map($S$19,sSQ10&amp;sRow9&amp;sCol7,""),"")</f>
      </c>
      <c r="AE10" s="18" t="str">
        <f>IF(H10="",map($S$19,sSQ10&amp;dIAG2&amp;sq5B&amp;sRow9&amp;sCol8,""),"")</f>
        <v>TPSL</v>
      </c>
      <c r="AF10" s="19" t="str">
        <f>IF(I10="",map($S$19,sSQ11&amp;DIAG1&amp;sq5B&amp;sRow9&amp;sCol9,""),"")</f>
        <v>MTC</v>
      </c>
      <c r="AG10" s="17">
        <f>IF(J10="",map($S$19,sSQ11&amp;sRow9&amp;sCol10,""),"")</f>
      </c>
      <c r="AH10" s="2" t="str">
        <f>IF(K10="",map($S$19,sSQ11&amp;sRow9&amp;Scol11,""),"")</f>
        <v>MTPSDLC</v>
      </c>
      <c r="AI10" s="18" t="str">
        <f>IF(L10="",map($S$19,sSQ11&amp;sq6b&amp;sRow9&amp;sCol12,""),"")</f>
        <v>MSDC</v>
      </c>
      <c r="AJ10" s="19">
        <f>IF(M10="",map($S$19,sSQ12&amp;sRow9&amp;sCol13,""),"")</f>
      </c>
      <c r="AK10" s="17" t="str">
        <f>IF(N10="",map($S$19,sSQ12&amp;sq6b&amp;sRow9&amp;sCol14,""),"")</f>
        <v>SNDL</v>
      </c>
      <c r="AL10" s="17">
        <f>IF(O10="",map($S$19,sSQ12&amp;sRow9&amp;sCol15,""),"")</f>
      </c>
      <c r="AM10" s="3" t="str">
        <f>IF(P10="",map($S$19,sSQ12&amp;sRow9&amp;sCol16,""),"")</f>
        <v>TNH</v>
      </c>
      <c r="AQ10" s="4" t="str">
        <f>AI13&amp;AJ13&amp;AK13&amp;AL13&amp;AI14&amp;AJ14&amp;AK14&amp;AL14&amp;AI15&amp;AJ15&amp;AK15&amp;AL15&amp;AI16&amp;AJ16&amp;AK16&amp;AL16</f>
        <v>SODRAUSODRUHTSORAUSIRSRSIRAESIRUSOIRSORAESOIRH</v>
      </c>
    </row>
    <row r="11" spans="1:39" ht="19.5">
      <c r="A11" s="5" t="s">
        <v>10</v>
      </c>
      <c r="B11" s="11"/>
      <c r="C11" s="11"/>
      <c r="D11" s="12" t="s">
        <v>6</v>
      </c>
      <c r="E11" s="13"/>
      <c r="F11" s="6"/>
      <c r="G11" s="11"/>
      <c r="H11" s="12"/>
      <c r="I11" s="13"/>
      <c r="J11" s="11"/>
      <c r="K11" s="6"/>
      <c r="L11" s="12" t="s">
        <v>19</v>
      </c>
      <c r="M11" s="13"/>
      <c r="N11" s="11"/>
      <c r="O11" s="11" t="s">
        <v>5</v>
      </c>
      <c r="P11" s="7" t="s">
        <v>18</v>
      </c>
      <c r="R11" s="4" t="s">
        <v>30</v>
      </c>
      <c r="S11" s="4" t="str">
        <f>E10&amp;F10&amp;G10&amp;H10&amp;E11&amp;F11&amp;G11&amp;H11&amp;E12&amp;F12&amp;G12&amp;H12&amp;E13&amp;F13&amp;G13&amp;H13</f>
        <v>AOIE</v>
      </c>
      <c r="U11" s="4" t="str">
        <f t="shared" si="0"/>
        <v>AOHEC</v>
      </c>
      <c r="V11" s="4" t="str">
        <f>J2&amp;J3&amp;J4&amp;J5&amp;J6&amp;J7&amp;J8&amp;J9&amp;J10&amp;J11&amp;J12&amp;J13&amp;J14&amp;J15&amp;J16&amp;J17</f>
        <v>LURMAN</v>
      </c>
      <c r="X11" s="5">
        <f>IF(A11="",map($S$19,sSQ9&amp;sRow10&amp;sCol1,""),"")</f>
      </c>
      <c r="Y11" s="11" t="str">
        <f>IF(B11="",map($S$19,sSQ9&amp;sq4B&amp;sRow10&amp;sCol2,""),"")</f>
        <v>SYIRL</v>
      </c>
      <c r="Z11" s="11" t="str">
        <f>IF(C11="",map($S$19,sSQ9&amp;sq4B&amp;sRow10&amp;sCol3,""),"")</f>
        <v>PSYIRL</v>
      </c>
      <c r="AA11" s="12">
        <f>IF(D11="",map($S$19,sSQ9&amp;sRow10&amp;sCol4,""),"")</f>
      </c>
      <c r="AB11" s="13" t="str">
        <f>IF(E11="",map($S$19,sSQ10&amp;sq4B&amp;sRow10&amp;sCol5,""),"")</f>
        <v>PSYDRL</v>
      </c>
      <c r="AC11" s="6" t="str">
        <f>IF(F11="",map($S$19,sSQ10&amp;sRow10&amp;sCol6,""),"")</f>
        <v>MPYNU</v>
      </c>
      <c r="AD11" s="11" t="str">
        <f>IF(G11="",map($S$19,sSQ10&amp;dIAG2&amp;sq5B&amp;sRow10&amp;sCol7,""),"")</f>
        <v>MTSYNDU</v>
      </c>
      <c r="AE11" s="12" t="str">
        <f>IF(H11="",map($S$19,sSQ10&amp;sq5B&amp;sRow10&amp;sCol8,""),"")</f>
        <v>TPSLU</v>
      </c>
      <c r="AF11" s="13" t="str">
        <f>IF(I11="",map($S$19,sSQ11&amp;sq5B&amp;sRow10&amp;sCol9,""),"")</f>
        <v>MTPYILU</v>
      </c>
      <c r="AG11" s="11" t="str">
        <f>IF(J11="",map($S$19,sSQ11&amp;DIAG1&amp;sq5B&amp;sRow10&amp;sCol10,""),"")</f>
        <v>TSYID</v>
      </c>
      <c r="AH11" s="6" t="str">
        <f>IF(K11="",map($S$19,sSQ11&amp;sRow10&amp;Scol11,""),"")</f>
        <v>MTPSYIDL</v>
      </c>
      <c r="AI11" s="12">
        <f>IF(L11="",map($S$19,sSQ11&amp;sRow10&amp;sCol12,""),"")</f>
      </c>
      <c r="AJ11" s="13" t="str">
        <f>IF(M11="",map($S$19,sSQ12&amp;sq6b&amp;sRow10&amp;sCol13,""),"")</f>
        <v>SNDRU</v>
      </c>
      <c r="AK11" s="11" t="str">
        <f>IF(N11="",map($S$19,sSQ12&amp;sq6b&amp;sRow10&amp;sCol14,""),"")</f>
        <v>SNDRLU</v>
      </c>
      <c r="AL11" s="11">
        <f>IF(O11="",map($S$19,sSQ12&amp;sRow10&amp;sCol15,""),"")</f>
      </c>
      <c r="AM11" s="7">
        <f>IF(P11="",map($S$19,sSQ12&amp;sRow10&amp;sCol16,""),"")</f>
      </c>
    </row>
    <row r="12" spans="1:39" ht="19.5">
      <c r="A12" s="5"/>
      <c r="B12" s="6"/>
      <c r="C12" s="6"/>
      <c r="D12" s="7" t="s">
        <v>14</v>
      </c>
      <c r="E12" s="5"/>
      <c r="F12" s="6"/>
      <c r="G12" s="6"/>
      <c r="H12" s="7" t="s">
        <v>20</v>
      </c>
      <c r="I12" s="5"/>
      <c r="J12" s="6"/>
      <c r="K12" s="6" t="s">
        <v>5</v>
      </c>
      <c r="L12" s="7"/>
      <c r="M12" s="5" t="s">
        <v>11</v>
      </c>
      <c r="N12" s="6"/>
      <c r="O12" s="6"/>
      <c r="P12" s="7" t="s">
        <v>7</v>
      </c>
      <c r="R12" s="4" t="s">
        <v>31</v>
      </c>
      <c r="S12" s="4" t="str">
        <f>I10&amp;J10&amp;K10&amp;L10&amp;I11&amp;J11&amp;K11&amp;L11&amp;I12&amp;J12&amp;K12&amp;L12&amp;I13&amp;J13&amp;K13&amp;L13</f>
        <v>RHEN</v>
      </c>
      <c r="U12" s="4" t="str">
        <f t="shared" si="0"/>
        <v>DIEMP</v>
      </c>
      <c r="V12" s="4" t="str">
        <f>K2&amp;K3&amp;K4&amp;K5&amp;K6&amp;K7&amp;K8&amp;K9&amp;K10&amp;K11&amp;K12&amp;K13&amp;K14&amp;K15&amp;K16&amp;K17</f>
        <v>AOUE</v>
      </c>
      <c r="X12" s="5" t="str">
        <f>IF(A12="",map($S$19,sSQ9&amp;sROW11&amp;sCol1,""),"")</f>
        <v>TYNRLH</v>
      </c>
      <c r="Y12" s="6" t="str">
        <f>IF(B12="",map($S$19,sSQ9&amp;sROW11&amp;sCol2,""),"")</f>
        <v>SYRLH</v>
      </c>
      <c r="Z12" s="6" t="str">
        <f>IF(C12="",map($S$19,sSQ9&amp;sROW11&amp;sCol3,""),"")</f>
        <v>SYNRLH</v>
      </c>
      <c r="AA12" s="7">
        <f>IF(D12="",map($S$19,sSQ9&amp;sROW11&amp;sCol4,""),"")</f>
      </c>
      <c r="AB12" s="5" t="str">
        <f>IF(E12="",map($S$19,sSQ10&amp;sROW11&amp;sCol5,""),"")</f>
        <v>TSYRLUHC</v>
      </c>
      <c r="AC12" s="6" t="str">
        <f>IF(F12="",map($S$19,sSQ10&amp;dIAG2&amp;sROW11&amp;sCol6,""),"")</f>
        <v>YNUHC</v>
      </c>
      <c r="AD12" s="6" t="str">
        <f>IF(G12="",map($S$19,sSQ10&amp;sROW11&amp;sCol7,""),"")</f>
        <v>TSYNRUHC</v>
      </c>
      <c r="AE12" s="7">
        <f>IF(H12="",map($S$19,sSQ10&amp;sROW11&amp;sCol8,""),"")</f>
      </c>
      <c r="AF12" s="5" t="str">
        <f>IF(I12="",map($S$19,sSQ11&amp;sROW11&amp;sCol9,""),"")</f>
        <v>TOYALUC</v>
      </c>
      <c r="AG12" s="6" t="str">
        <f>IF(J12="",map($S$19,sSQ11&amp;sROW11&amp;sCol10,""),"")</f>
        <v>TSOYC</v>
      </c>
      <c r="AH12" s="6">
        <f>IF(K12="",map($S$19,sSQ11&amp;sROW11&amp;Scol11,""),"")</f>
      </c>
      <c r="AI12" s="7" t="str">
        <f>IF(L12="",map($S$19,sSQ11&amp;sROW11&amp;sCol12,""),"")</f>
        <v>SYUC</v>
      </c>
      <c r="AJ12" s="5">
        <f>IF(M12="",map($S$19,sSQ12&amp;sROW11&amp;sCol13,""),"")</f>
      </c>
      <c r="AK12" s="6" t="str">
        <f>IF(N12="",map($S$19,sSQ12&amp;sROW11&amp;sCol14,""),"")</f>
        <v>SONRLUH</v>
      </c>
      <c r="AL12" s="6" t="str">
        <f>IF(O12="",map($S$19,sSQ12&amp;sROW11&amp;sCol15,""),"")</f>
        <v>TSONRALU</v>
      </c>
      <c r="AM12" s="7">
        <f>IF(P12="",map($S$19,sSQ12&amp;sROW11&amp;sCol16,""),"")</f>
      </c>
    </row>
    <row r="13" spans="1:39" ht="20.25" thickBot="1">
      <c r="A13" s="8"/>
      <c r="B13" s="14" t="s">
        <v>18</v>
      </c>
      <c r="C13" s="14"/>
      <c r="D13" s="15"/>
      <c r="E13" s="16"/>
      <c r="F13" s="9"/>
      <c r="G13" s="14" t="s">
        <v>5</v>
      </c>
      <c r="H13" s="15"/>
      <c r="I13" s="16"/>
      <c r="J13" s="14"/>
      <c r="K13" s="9"/>
      <c r="L13" s="15" t="s">
        <v>12</v>
      </c>
      <c r="M13" s="16"/>
      <c r="N13" s="14"/>
      <c r="O13" s="14"/>
      <c r="P13" s="10"/>
      <c r="R13" s="4" t="s">
        <v>32</v>
      </c>
      <c r="S13" s="4" t="str">
        <f>M10&amp;N10&amp;O10&amp;P10&amp;M11&amp;N11&amp;O11&amp;P11&amp;M12&amp;N12&amp;O12&amp;P12&amp;M13&amp;N13&amp;O13&amp;P13</f>
        <v>IYECMP</v>
      </c>
      <c r="U13" s="4" t="str">
        <f t="shared" si="0"/>
        <v>CEN</v>
      </c>
      <c r="V13" s="4" t="str">
        <f>L2&amp;L3&amp;L4&amp;L5&amp;L6&amp;L7&amp;L8&amp;L9&amp;L10&amp;L11&amp;L12&amp;L13&amp;L14&amp;L15&amp;L16&amp;L17</f>
        <v>TOAHNL</v>
      </c>
      <c r="X13" s="8" t="str">
        <f>IF(A13="",map($S$19,sSQ9&amp;sRow12&amp;sCol1,""),"")</f>
        <v>TPYRLH</v>
      </c>
      <c r="Y13" s="14">
        <f>IF(B13="",map($S$19,sSQ9&amp;sRow12&amp;sCol2,""),"")</f>
      </c>
      <c r="Z13" s="14" t="str">
        <f>IF(C13="",map($S$19,sSQ9&amp;sq7b&amp;sRow12&amp;sCol3,""),"")</f>
        <v>PSYIRLH</v>
      </c>
      <c r="AA13" s="15" t="str">
        <f>IF(D13="",map($S$19,sSQ9&amp;sq7b&amp;sRow12&amp;sCol4,""),"")</f>
        <v>MTYIRLH</v>
      </c>
      <c r="AB13" s="16" t="str">
        <f>IF(E13="",map($S$19,sSQ10&amp;dIAG2&amp;sq7b&amp;sRow12&amp;sCol5,""),"")</f>
        <v>MTPSYDRLH</v>
      </c>
      <c r="AC13" s="9" t="str">
        <f>IF(F13="",map($S$19,sSQ10&amp;sRow12&amp;sCol6,""),"")</f>
        <v>MPYUH</v>
      </c>
      <c r="AD13" s="14">
        <f>IF(G13="",map($S$19,sSQ10&amp;sRow12&amp;sCol7,""),"")</f>
      </c>
      <c r="AE13" s="15" t="str">
        <f>IF(H13="",map($S$19,sSQ10&amp;sq8b&amp;sRow12&amp;sCol8,""),"")</f>
        <v>TPSRLU</v>
      </c>
      <c r="AF13" s="16" t="str">
        <f>IF(I13="",map($S$19,sSQ11&amp;sq8b&amp;sRow12&amp;sCol9,""),"")</f>
        <v>TPOYILU</v>
      </c>
      <c r="AG13" s="14" t="str">
        <f>IF(J13="",map($S$19,sSQ11&amp;sq8b&amp;sRow12&amp;sCol10,""),"")</f>
        <v>TPSOYI</v>
      </c>
      <c r="AH13" s="9" t="str">
        <f>IF(K13="",map($S$19,sSQ11&amp;sRow12&amp;Scol11,""),"")</f>
        <v>MTPSYIDL</v>
      </c>
      <c r="AI13" s="15">
        <f>IF(L13="",map($S$19,sSQ11&amp;sRow12&amp;sCol12,""),"")</f>
      </c>
      <c r="AJ13" s="16" t="str">
        <f>IF(M13="",map($S$19,sSQ12&amp;sq9b&amp;sRow12&amp;sCol13,""),"")</f>
        <v>SODRAU</v>
      </c>
      <c r="AK13" s="14" t="str">
        <f>IF(N13="",map($S$19,sSQ12&amp;sq9b&amp;sRow12&amp;sCol14,""),"")</f>
        <v>SODRUH</v>
      </c>
      <c r="AL13" s="14" t="str">
        <f>IF(O13="",map($S$19,sSQ12&amp;sq9b&amp;sRow12&amp;sCol15,""),"")</f>
        <v>TSORAU</v>
      </c>
      <c r="AM13" s="10" t="str">
        <f>IF(P13="",map($S$19,sSQ12&amp;sRow12&amp;sCol16,""),"")</f>
        <v>TORAH</v>
      </c>
    </row>
    <row r="14" spans="1:39" ht="20.25" thickTop="1">
      <c r="A14" s="1" t="s">
        <v>5</v>
      </c>
      <c r="B14" s="17"/>
      <c r="C14" s="17" t="s">
        <v>6</v>
      </c>
      <c r="D14" s="18"/>
      <c r="E14" s="19"/>
      <c r="F14" s="2" t="s">
        <v>13</v>
      </c>
      <c r="G14" s="17"/>
      <c r="H14" s="18"/>
      <c r="I14" s="19" t="s">
        <v>14</v>
      </c>
      <c r="J14" s="17" t="s">
        <v>11</v>
      </c>
      <c r="K14" s="2"/>
      <c r="L14" s="18"/>
      <c r="M14" s="19"/>
      <c r="N14" s="17" t="s">
        <v>8</v>
      </c>
      <c r="O14" s="17"/>
      <c r="P14" s="3" t="s">
        <v>17</v>
      </c>
      <c r="R14" s="4" t="s">
        <v>33</v>
      </c>
      <c r="S14" s="4" t="str">
        <f>A14&amp;B14&amp;C14&amp;D14&amp;A15&amp;B15&amp;C15&amp;D15&amp;A16&amp;B16&amp;C16&amp;D16&amp;A17&amp;B17&amp;C17&amp;D17</f>
        <v>EONMUCS</v>
      </c>
      <c r="U14" s="4" t="str">
        <f t="shared" si="0"/>
        <v>EOTDMYU</v>
      </c>
      <c r="V14" s="4" t="str">
        <f>M2&amp;M3&amp;M4&amp;M5&amp;M6&amp;M7&amp;M8&amp;M9&amp;M10&amp;M11&amp;M12&amp;M13&amp;M14&amp;M15&amp;M16&amp;M17</f>
        <v>LEHPIMCT</v>
      </c>
      <c r="X14" s="1">
        <f>IF(A14="",map($S$19,sSQ13&amp;sRow13&amp;sCol1,""),"")</f>
      </c>
      <c r="Y14" s="17" t="str">
        <f>IF(B14="",map($S$19,sSQ13&amp;sq7b&amp;sRow13&amp;sCol2,""),"")</f>
        <v>IRALH</v>
      </c>
      <c r="Z14" s="17">
        <f>IF(C14="",map($S$19,sSQ13&amp;sRow13&amp;sCol3,""),"")</f>
      </c>
      <c r="AA14" s="18" t="str">
        <f>IF(D14="",map($S$19,sSQ13&amp;dIAG2&amp;sq7b&amp;sRow13&amp;sCol4,""),"")</f>
        <v>IRLH</v>
      </c>
      <c r="AB14" s="19" t="str">
        <f>IF(E14="",map($S$19,sSQ14&amp;sq7b&amp;sRow13&amp;sCol5,""),"")</f>
        <v>PSR</v>
      </c>
      <c r="AC14" s="2">
        <f>IF(F14="",map($S$19,sSQ14&amp;sRow13&amp;sCol6,""),"")</f>
      </c>
      <c r="AD14" s="17" t="str">
        <f>IF(G14="",map($S$19,sSQ14&amp;sq8b&amp;sRow13&amp;sCol7,""),"")</f>
        <v>SINR</v>
      </c>
      <c r="AE14" s="18" t="str">
        <f>IF(H14="",map($S$19,sSQ14&amp;sq8b&amp;sRow13&amp;sCol8,""),"")</f>
        <v>PSR</v>
      </c>
      <c r="AF14" s="19">
        <f>IF(I14="",map($S$19,sSQ15&amp;sRow13&amp;sCol9,""),"")</f>
      </c>
      <c r="AG14" s="17">
        <f>IF(J14="",map($S$19,sSQ15&amp;sRow13&amp;sCol10,""),"")</f>
      </c>
      <c r="AH14" s="2" t="str">
        <f>IF(K14="",map($S$19,sSQ15&amp;sRow13&amp;Scol11,""),"")</f>
        <v>PSIRHC</v>
      </c>
      <c r="AI14" s="18" t="str">
        <f>IF(L14="",map($S$19,sSQ15&amp;sq9b&amp;sRow13&amp;sCol12,""),"")</f>
        <v>SIR</v>
      </c>
      <c r="AJ14" s="19" t="str">
        <f>IF(M14="",map($S$19,sSQ16&amp;DIAG1&amp;sq9b&amp;sRow13&amp;sCol13,""),"")</f>
        <v>SR</v>
      </c>
      <c r="AK14" s="17">
        <f>IF(N14="",map($S$19,sSQ16&amp;sRow13&amp;sCol14,""),"")</f>
      </c>
      <c r="AL14" s="17" t="str">
        <f>IF(O14="",map($S$19,sSQ16&amp;sq9b&amp;sRow13&amp;sCol15,""),"")</f>
        <v>SIRA</v>
      </c>
      <c r="AM14" s="3">
        <f>IF(P14="",map($S$19,sSQ16&amp;sRow13&amp;sCol16,""),"")</f>
      </c>
    </row>
    <row r="15" spans="1:39" ht="19.5">
      <c r="A15" s="5"/>
      <c r="B15" s="11" t="s">
        <v>12</v>
      </c>
      <c r="C15" s="11"/>
      <c r="D15" s="12"/>
      <c r="E15" s="13"/>
      <c r="F15" s="6"/>
      <c r="G15" s="11"/>
      <c r="H15" s="12" t="s">
        <v>19</v>
      </c>
      <c r="I15" s="13"/>
      <c r="J15" s="11" t="s">
        <v>10</v>
      </c>
      <c r="K15" s="6"/>
      <c r="L15" s="12"/>
      <c r="M15" s="13" t="s">
        <v>18</v>
      </c>
      <c r="N15" s="11"/>
      <c r="O15" s="11" t="s">
        <v>11</v>
      </c>
      <c r="P15" s="7" t="s">
        <v>9</v>
      </c>
      <c r="R15" s="4" t="s">
        <v>34</v>
      </c>
      <c r="S15" s="4" t="str">
        <f>E14&amp;F14&amp;G14&amp;H14&amp;E15&amp;F15&amp;G15&amp;H15&amp;E16&amp;F16&amp;G16&amp;H16&amp;E17&amp;F17&amp;G17&amp;H17</f>
        <v>THDCL</v>
      </c>
      <c r="U15" s="4" t="str">
        <f t="shared" si="0"/>
        <v>NHACML</v>
      </c>
      <c r="V15" s="4" t="str">
        <f>N2&amp;N3&amp;N4&amp;N5&amp;N6&amp;N7&amp;N8&amp;N9&amp;N10&amp;N11&amp;N12&amp;N13&amp;N14&amp;N15&amp;N16&amp;N17</f>
        <v>ACTY</v>
      </c>
      <c r="X15" s="5" t="str">
        <f>IF(A15="",map($S$19,sSQ13&amp;sROW14&amp;sCol1,""),"")</f>
        <v>TPYDR</v>
      </c>
      <c r="Y15" s="11">
        <f>IF(B15="",map($S$19,sSQ13&amp;sROW14&amp;sCol2,""),"")</f>
      </c>
      <c r="Z15" s="11" t="str">
        <f>IF(C15="",map($S$19,sSQ13&amp;dIAG2&amp;sq7b&amp;sROW14&amp;sCol3,""),"")</f>
        <v>PYIDR</v>
      </c>
      <c r="AA15" s="12" t="str">
        <f>IF(D15="",map($S$19,sSQ13&amp;sq7b&amp;sROW14&amp;sCol4,""),"")</f>
        <v>TYIR</v>
      </c>
      <c r="AB15" s="13" t="str">
        <f>IF(E15="",map($S$19,sSQ14&amp;sq7b&amp;sROW14&amp;sCol5,""),"")</f>
        <v>EPSYR</v>
      </c>
      <c r="AC15" s="6" t="str">
        <f>IF(F15="",map($S$19,sSQ14&amp;sROW14&amp;sCol6,""),"")</f>
        <v>EPOYIU</v>
      </c>
      <c r="AD15" s="11" t="str">
        <f>IF(G15="",map($S$19,sSQ14&amp;sq8b&amp;sROW14&amp;sCol7,""),"")</f>
        <v>SYIRU</v>
      </c>
      <c r="AE15" s="12">
        <f>IF(H15="",map($S$19,sSQ14&amp;sROW14&amp;sCol8,""),"")</f>
      </c>
      <c r="AF15" s="13" t="str">
        <f>IF(I15="",map($S$19,sSQ15&amp;sq8b&amp;sROW14&amp;sCol9,""),"")</f>
        <v>TPOYIRU</v>
      </c>
      <c r="AG15" s="11">
        <f>IF(J15="",map($S$19,sSQ15&amp;sROW14&amp;sCol10,""),"")</f>
      </c>
      <c r="AH15" s="6" t="str">
        <f>IF(K15="",map($S$19,sSQ15&amp;sROW14&amp;Scol11,""),"")</f>
        <v>TPSYIR</v>
      </c>
      <c r="AI15" s="12" t="str">
        <f>IF(L15="",map($S$19,sSQ15&amp;sq9b&amp;sROW14&amp;sCol12,""),"")</f>
        <v>ESIRU</v>
      </c>
      <c r="AJ15" s="13">
        <f>IF(M15="",map($S$19,sSQ16&amp;sROW14&amp;sCol13,""),"")</f>
      </c>
      <c r="AK15" s="11" t="str">
        <f>IF(N15="",map($S$19,sSQ16&amp;DIAG1&amp;sq9b&amp;sROW14&amp;sCol14,""),"")</f>
        <v>SOIR</v>
      </c>
      <c r="AL15" s="11">
        <f>IF(O15="",map($S$19,sSQ16&amp;sROW14&amp;sCol15,""),"")</f>
      </c>
      <c r="AM15" s="7">
        <f>IF(P15="",map($S$19,sSQ16&amp;sROW14&amp;sCol16,""),"")</f>
      </c>
    </row>
    <row r="16" spans="1:39" ht="19.5">
      <c r="A16" s="5" t="s">
        <v>11</v>
      </c>
      <c r="B16" s="11"/>
      <c r="C16" s="11"/>
      <c r="D16" s="12" t="s">
        <v>17</v>
      </c>
      <c r="E16" s="13"/>
      <c r="F16" s="6" t="s">
        <v>14</v>
      </c>
      <c r="G16" s="11"/>
      <c r="H16" s="12" t="s">
        <v>18</v>
      </c>
      <c r="I16" s="13"/>
      <c r="J16" s="11"/>
      <c r="K16" s="6"/>
      <c r="L16" s="12" t="s">
        <v>9</v>
      </c>
      <c r="M16" s="13"/>
      <c r="N16" s="11"/>
      <c r="O16" s="11" t="s">
        <v>7</v>
      </c>
      <c r="P16" s="7"/>
      <c r="R16" s="4" t="s">
        <v>35</v>
      </c>
      <c r="S16" s="4" t="str">
        <f>I14&amp;J14&amp;K14&amp;L14&amp;I15&amp;J15&amp;K15&amp;L15&amp;I16&amp;J16&amp;K16&amp;L16&amp;I17&amp;J17&amp;K17&amp;L17</f>
        <v>DMALN</v>
      </c>
      <c r="U16" s="4" t="str">
        <f t="shared" si="0"/>
        <v>MUDCLP</v>
      </c>
      <c r="V16" s="4" t="str">
        <f>O2&amp;O3&amp;O4&amp;O5&amp;O6&amp;O7&amp;O8&amp;O9&amp;O10&amp;O11&amp;O12&amp;O13&amp;O14&amp;O15&amp;O16&amp;O17</f>
        <v>HYEMPD</v>
      </c>
      <c r="X16" s="5">
        <f>IF(A16="",map($S$19,sSQ13&amp;sRow15&amp;sCol1,""),"")</f>
      </c>
      <c r="Y16" s="11" t="str">
        <f>IF(B16="",map($S$19,sSQ13&amp;dIAG2&amp;sq7b&amp;sRow15&amp;sCol2,""),"")</f>
        <v>YIRH</v>
      </c>
      <c r="Z16" s="11" t="str">
        <f>IF(C16="",map($S$19,sSQ13&amp;sq7b&amp;sRow15&amp;sCol3,""),"")</f>
        <v>YIRAH</v>
      </c>
      <c r="AA16" s="12">
        <f>IF(D16="",map($S$19,sSQ13&amp;sRow15&amp;sCol4,""),"")</f>
      </c>
      <c r="AB16" s="13" t="str">
        <f>IF(E16="",map($S$19,sSQ14&amp;sq7b&amp;sRow15&amp;sCol5,""),"")</f>
        <v>ESYR</v>
      </c>
      <c r="AC16" s="6">
        <f>IF(F16="",map($S$19,sSQ14&amp;sRow15&amp;sCol6,""),"")</f>
      </c>
      <c r="AD16" s="11" t="str">
        <f>IF(G16="",map($S$19,sSQ14&amp;sq8b&amp;sRow15&amp;sCol7,""),"")</f>
        <v>SYINR</v>
      </c>
      <c r="AE16" s="12">
        <f>IF(H16="",map($S$19,sSQ14&amp;sRow15&amp;sCol8,""),"")</f>
      </c>
      <c r="AF16" s="13" t="str">
        <f>IF(I16="",map($S$19,sSQ15&amp;sq8b&amp;sRow15&amp;sCol9,""),"")</f>
        <v>TOYIR</v>
      </c>
      <c r="AG16" s="11" t="str">
        <f>IF(J16="",map($S$19,sSQ15&amp;sq8b&amp;sRow15&amp;sCol10,""),"")</f>
        <v>TSOYI</v>
      </c>
      <c r="AH16" s="6" t="str">
        <f>IF(K16="",map($S$19,sSQ15&amp;sRow15&amp;Scol11,""),"")</f>
        <v>TSYIRH</v>
      </c>
      <c r="AI16" s="12">
        <f>IF(L16="",map($S$19,sSQ15&amp;sRow15&amp;sCol12,""),"")</f>
      </c>
      <c r="AJ16" s="13" t="str">
        <f>IF(M16="",map($S$19,sSQ16&amp;sq9b&amp;sRow15&amp;sCol13,""),"")</f>
        <v>SORA</v>
      </c>
      <c r="AK16" s="11" t="str">
        <f>IF(N16="",map($S$19,sSQ16&amp;sq9b&amp;sRow15&amp;sCol14,""),"")</f>
        <v>ESOIRH</v>
      </c>
      <c r="AL16" s="11">
        <f>IF(O16="",map($S$19,sSQ16&amp;sRow15&amp;sCol15,""),"")</f>
      </c>
      <c r="AM16" s="7" t="str">
        <f>IF(P16="",map($S$19,sSQ16&amp;sRow15&amp;sCol16,""),"")</f>
        <v>EOINRAH</v>
      </c>
    </row>
    <row r="17" spans="1:39" ht="20.25" thickBot="1">
      <c r="A17" s="8"/>
      <c r="B17" s="9"/>
      <c r="C17" s="9" t="s">
        <v>18</v>
      </c>
      <c r="D17" s="10" t="s">
        <v>15</v>
      </c>
      <c r="E17" s="8"/>
      <c r="F17" s="9"/>
      <c r="G17" s="9" t="s">
        <v>9</v>
      </c>
      <c r="H17" s="10"/>
      <c r="I17" s="8"/>
      <c r="J17" s="9" t="s">
        <v>12</v>
      </c>
      <c r="K17" s="9"/>
      <c r="L17" s="10"/>
      <c r="M17" s="8" t="s">
        <v>13</v>
      </c>
      <c r="N17" s="9"/>
      <c r="O17" s="9" t="s">
        <v>14</v>
      </c>
      <c r="P17" s="10"/>
      <c r="R17" s="4" t="s">
        <v>36</v>
      </c>
      <c r="S17" s="4" t="str">
        <f>M14&amp;N14&amp;O14&amp;P14&amp;M15&amp;N15&amp;O15&amp;P15&amp;M16&amp;N16&amp;O16&amp;P16&amp;M17&amp;N17&amp;O17&amp;P17</f>
        <v>YUCMLPTD</v>
      </c>
      <c r="U17" s="4" t="str">
        <f t="shared" si="0"/>
        <v>CSLNTD</v>
      </c>
      <c r="V17" s="4" t="str">
        <f>P2&amp;P3&amp;P4&amp;P5&amp;P6&amp;P7&amp;P8&amp;P9&amp;P10&amp;P11&amp;P12&amp;P13&amp;P14&amp;P15&amp;P16&amp;P17</f>
        <v>DYSCPUL</v>
      </c>
      <c r="X17" s="8" t="str">
        <f>IF(A17="",map($S$19,sSQ13&amp;dIAG2&amp;srOW16&amp;sCol1,""),"")</f>
        <v>PYRH</v>
      </c>
      <c r="Y17" s="9" t="str">
        <f>IF(B17="",map($S$19,sSQ13&amp;srOW16&amp;sCol2,""),"")</f>
        <v>YIRAH</v>
      </c>
      <c r="Z17" s="9">
        <f>IF(C17="",map($S$19,sSQ13&amp;srOW16&amp;sCol3,""),"")</f>
      </c>
      <c r="AA17" s="10">
        <f>IF(D17="",map($S$19,sSQ13&amp;srOW16&amp;sCol4,""),"")</f>
      </c>
      <c r="AB17" s="8" t="str">
        <f>IF(E17="",map($S$19,sSQ14&amp;srOW16&amp;sCol5,""),"")</f>
        <v>EMPYRU</v>
      </c>
      <c r="AC17" s="9" t="str">
        <f>IF(F17="",map($S$19,sSQ14&amp;srOW16&amp;sCol6,""),"")</f>
        <v>EMPOYIAU</v>
      </c>
      <c r="AD17" s="9">
        <f>IF(G17="",map($S$19,sSQ14&amp;srOW16&amp;sCol7,""),"")</f>
      </c>
      <c r="AE17" s="10" t="str">
        <f>IF(H17="",map($S$19,sSQ14&amp;srOW16&amp;sCol8,""),"")</f>
        <v>EPORU</v>
      </c>
      <c r="AF17" s="8" t="str">
        <f>IF(I17="",map($S$19,sSQ15&amp;srOW16&amp;sCol9,""),"")</f>
        <v>EPOYIRU</v>
      </c>
      <c r="AG17" s="9">
        <f>IF(J17="",map($S$19,sSQ15&amp;srOW16&amp;sCol10,""),"")</f>
      </c>
      <c r="AH17" s="9" t="str">
        <f>IF(K17="",map($S$19,sSQ15&amp;srOW16&amp;Scol11,""),"")</f>
        <v>PYIRH</v>
      </c>
      <c r="AI17" s="10" t="str">
        <f>IF(L17="",map($S$19,sSQ15&amp;srOW16&amp;sCol12,""),"")</f>
        <v>EPYIRU</v>
      </c>
      <c r="AJ17" s="8">
        <f>IF(M17="",map($S$19,sSQ16&amp;srOW16&amp;sCol13,""),"")</f>
      </c>
      <c r="AK17" s="9" t="str">
        <f>IF(N17="",map($S$19,sSQ16&amp;srOW16&amp;sCol14,""),"")</f>
        <v>EOIRH</v>
      </c>
      <c r="AL17" s="9">
        <f>IF(O17="",map($S$19,sSQ16&amp;srOW16&amp;sCol15,""),"")</f>
      </c>
      <c r="AM17" s="10" t="str">
        <f>IF(P17="",map($S$19,sSQ16&amp;DIAG1&amp;srOW16&amp;sCol16,""),"")</f>
        <v>OIRH</v>
      </c>
    </row>
    <row r="18" spans="18:22" ht="20.25" thickTop="1">
      <c r="R18" s="4" t="s">
        <v>41</v>
      </c>
      <c r="S18" s="4" t="str">
        <f>A2&amp;B3&amp;C4&amp;D5&amp;E6&amp;F7&amp;G8&amp;H9&amp;I10&amp;J11&amp;K12&amp;L13&amp;M14&amp;N15&amp;O16&amp;P17</f>
        <v>LAENP</v>
      </c>
      <c r="U18" s="4" t="s">
        <v>42</v>
      </c>
      <c r="V18" s="4" t="str">
        <f>P2&amp;O3&amp;N4&amp;M5&amp;L6&amp;K7&amp;J8&amp;I9&amp;H10&amp;G11&amp;F12&amp;E13&amp;D14&amp;C15&amp;B16&amp;A17</f>
        <v>EAO</v>
      </c>
    </row>
    <row r="19" ht="19.5">
      <c r="S19" s="4" t="str">
        <f>IF(LEN(S2)=16,S2,nodupchar(S2&amp;S3&amp;S4&amp;S5&amp;S6&amp;S7&amp;S8&amp;S9&amp;S10&amp;S11&amp;S12&amp;S13&amp;S14&amp;S15&amp;S16&amp;S17))</f>
        <v>EMTPSOYINDRALUHC</v>
      </c>
    </row>
    <row r="20" spans="18:41" ht="20.25" thickBot="1">
      <c r="R20" s="4">
        <f>COUNTA(A2:P17)</f>
        <v>87</v>
      </c>
      <c r="S20" s="4">
        <f>LEN(S19)</f>
        <v>16</v>
      </c>
      <c r="W20" s="4" t="str">
        <f>sRow4</f>
        <v>SRUEH</v>
      </c>
      <c r="Z20" s="4" t="str">
        <f>sCol3</f>
        <v>MTOC</v>
      </c>
      <c r="AO20" s="4" t="str">
        <f>AQ2</f>
        <v>OYRHYRLHCRUHESUHCOYALYNALYCLCEYNRLUHEYNRLHYRUH</v>
      </c>
    </row>
    <row r="21" spans="1:41" ht="20.25" thickTop="1">
      <c r="A21" s="1"/>
      <c r="B21" s="2" t="s">
        <v>5</v>
      </c>
      <c r="C21" s="2"/>
      <c r="D21" s="3"/>
      <c r="E21" s="1" t="s">
        <v>6</v>
      </c>
      <c r="F21" s="2"/>
      <c r="G21" s="2" t="s">
        <v>7</v>
      </c>
      <c r="H21" s="3" t="s">
        <v>8</v>
      </c>
      <c r="I21" s="1"/>
      <c r="J21" s="2"/>
      <c r="K21" s="2"/>
      <c r="L21" s="3"/>
      <c r="M21" s="1" t="s">
        <v>9</v>
      </c>
      <c r="N21" s="2" t="s">
        <v>10</v>
      </c>
      <c r="O21" s="2"/>
      <c r="P21" s="3"/>
      <c r="R21" s="4">
        <f>COUNTA(A21:P36)</f>
        <v>87</v>
      </c>
      <c r="V21" s="4" t="str">
        <f>map(S19,sSQ1&amp;sq1B&amp;sRow4,"")</f>
        <v>OYNALC</v>
      </c>
      <c r="W21" s="4" t="str">
        <f>map(S19,sSQ15,"")</f>
        <v>ETPSOYIRUHC</v>
      </c>
      <c r="Z21" s="4" t="str">
        <f>sCol4</f>
        <v>PODUS</v>
      </c>
      <c r="AL21" s="4">
        <v>1</v>
      </c>
      <c r="AN21" s="4" t="str">
        <f>MID($S$19,AL21,1)</f>
        <v>E</v>
      </c>
      <c r="AO21" s="4">
        <f>LEN($AO$20)-LEN(SUBSTITUTE($AO$20,AN21,""))</f>
        <v>3</v>
      </c>
    </row>
    <row r="22" spans="1:41" ht="19.5">
      <c r="A22" s="5"/>
      <c r="B22" s="11"/>
      <c r="C22" s="11" t="s">
        <v>11</v>
      </c>
      <c r="D22" s="12"/>
      <c r="E22" s="13" t="s">
        <v>20</v>
      </c>
      <c r="F22" s="6"/>
      <c r="G22" s="11"/>
      <c r="H22" s="12" t="s">
        <v>12</v>
      </c>
      <c r="I22" s="13"/>
      <c r="J22" s="11"/>
      <c r="K22" s="6" t="s">
        <v>10</v>
      </c>
      <c r="L22" s="12" t="s">
        <v>13</v>
      </c>
      <c r="M22" s="13"/>
      <c r="N22" s="11"/>
      <c r="O22" s="11"/>
      <c r="P22" s="7" t="s">
        <v>14</v>
      </c>
      <c r="R22" s="4">
        <f>R20-R21</f>
        <v>0</v>
      </c>
      <c r="AL22" s="4">
        <v>2</v>
      </c>
      <c r="AN22" s="4" t="str">
        <f aca="true" t="shared" si="1" ref="AN22:AN36">MID($S$19,AL22,1)</f>
        <v>M</v>
      </c>
      <c r="AO22" s="4">
        <f aca="true" t="shared" si="2" ref="AO22:AO36">LEN($AO$20)-LEN(SUBSTITUTE($AO$20,AN22,""))</f>
        <v>0</v>
      </c>
    </row>
    <row r="23" spans="1:41" ht="19.5">
      <c r="A23" s="5"/>
      <c r="B23" s="11" t="s">
        <v>13</v>
      </c>
      <c r="C23" s="11"/>
      <c r="D23" s="12" t="s">
        <v>7</v>
      </c>
      <c r="E23" s="13"/>
      <c r="F23" s="6"/>
      <c r="G23" s="11"/>
      <c r="H23" s="12" t="s">
        <v>14</v>
      </c>
      <c r="I23" s="13"/>
      <c r="J23" s="11" t="s">
        <v>9</v>
      </c>
      <c r="K23" s="6"/>
      <c r="L23" s="12" t="s">
        <v>6</v>
      </c>
      <c r="M23" s="13"/>
      <c r="N23" s="11"/>
      <c r="O23" s="11"/>
      <c r="P23" s="7" t="s">
        <v>8</v>
      </c>
      <c r="Z23" s="4" t="str">
        <f>map(W21,Z20,"")</f>
        <v>EPSYIRUH</v>
      </c>
      <c r="AL23" s="4">
        <v>3</v>
      </c>
      <c r="AN23" s="4" t="str">
        <f t="shared" si="1"/>
        <v>T</v>
      </c>
      <c r="AO23" s="4">
        <f t="shared" si="2"/>
        <v>0</v>
      </c>
    </row>
    <row r="24" spans="1:41" ht="20.25" thickBot="1">
      <c r="A24" s="8" t="s">
        <v>15</v>
      </c>
      <c r="B24" s="14"/>
      <c r="C24" s="14"/>
      <c r="D24" s="15"/>
      <c r="E24" s="16"/>
      <c r="F24" s="9" t="s">
        <v>16</v>
      </c>
      <c r="G24" s="14"/>
      <c r="H24" s="15"/>
      <c r="I24" s="16"/>
      <c r="J24" s="14" t="s">
        <v>17</v>
      </c>
      <c r="K24" s="9"/>
      <c r="L24" s="15"/>
      <c r="M24" s="16" t="s">
        <v>5</v>
      </c>
      <c r="N24" s="14"/>
      <c r="O24" s="14" t="s">
        <v>19</v>
      </c>
      <c r="P24" s="10"/>
      <c r="Z24" s="4" t="str">
        <f>map(W21,Z21,"")</f>
        <v>ETYIRHC</v>
      </c>
      <c r="AL24" s="4">
        <v>4</v>
      </c>
      <c r="AN24" s="4" t="str">
        <f t="shared" si="1"/>
        <v>P</v>
      </c>
      <c r="AO24" s="4">
        <f t="shared" si="2"/>
        <v>0</v>
      </c>
    </row>
    <row r="25" spans="1:41" ht="20.25" thickTop="1">
      <c r="A25" s="1"/>
      <c r="B25" s="17" t="s">
        <v>14</v>
      </c>
      <c r="C25" s="17"/>
      <c r="D25" s="18"/>
      <c r="E25" s="19"/>
      <c r="F25" s="2"/>
      <c r="G25" s="17"/>
      <c r="H25" s="18"/>
      <c r="I25" s="19" t="s">
        <v>15</v>
      </c>
      <c r="J25" s="17"/>
      <c r="K25" s="2"/>
      <c r="L25" s="18" t="s">
        <v>10</v>
      </c>
      <c r="M25" s="19"/>
      <c r="N25" s="17" t="s">
        <v>18</v>
      </c>
      <c r="O25" s="17"/>
      <c r="P25" s="3"/>
      <c r="AL25" s="4">
        <v>5</v>
      </c>
      <c r="AN25" s="4" t="str">
        <f t="shared" si="1"/>
        <v>S</v>
      </c>
      <c r="AO25" s="4">
        <f t="shared" si="2"/>
        <v>1</v>
      </c>
    </row>
    <row r="26" spans="1:41" ht="19.5">
      <c r="A26" s="5"/>
      <c r="B26" s="6" t="s">
        <v>7</v>
      </c>
      <c r="C26" s="6"/>
      <c r="D26" s="7"/>
      <c r="E26" s="5"/>
      <c r="F26" s="6" t="s">
        <v>9</v>
      </c>
      <c r="G26" s="6"/>
      <c r="H26" s="7" t="s">
        <v>11</v>
      </c>
      <c r="I26" s="5"/>
      <c r="J26" s="6"/>
      <c r="K26" s="6" t="s">
        <v>6</v>
      </c>
      <c r="L26" s="7"/>
      <c r="M26" s="5" t="s">
        <v>19</v>
      </c>
      <c r="N26" s="6"/>
      <c r="O26" s="6"/>
      <c r="P26" s="7" t="s">
        <v>15</v>
      </c>
      <c r="AL26" s="4">
        <v>6</v>
      </c>
      <c r="AN26" s="4" t="str">
        <f t="shared" si="1"/>
        <v>O</v>
      </c>
      <c r="AO26" s="4">
        <f t="shared" si="2"/>
        <v>2</v>
      </c>
    </row>
    <row r="27" spans="1:41" ht="19.5">
      <c r="A27" s="5" t="s">
        <v>20</v>
      </c>
      <c r="B27" s="11"/>
      <c r="C27" s="11" t="s">
        <v>13</v>
      </c>
      <c r="D27" s="12"/>
      <c r="E27" s="13" t="s">
        <v>12</v>
      </c>
      <c r="F27" s="6"/>
      <c r="G27" s="11"/>
      <c r="H27" s="12"/>
      <c r="I27" s="13" t="s">
        <v>19</v>
      </c>
      <c r="J27" s="11"/>
      <c r="K27" s="6" t="s">
        <v>17</v>
      </c>
      <c r="L27" s="12"/>
      <c r="M27" s="13"/>
      <c r="N27" s="11"/>
      <c r="O27" s="11"/>
      <c r="P27" s="7"/>
      <c r="AL27" s="4">
        <v>7</v>
      </c>
      <c r="AN27" s="4" t="str">
        <f t="shared" si="1"/>
        <v>Y</v>
      </c>
      <c r="AO27" s="4">
        <f t="shared" si="2"/>
        <v>8</v>
      </c>
    </row>
    <row r="28" spans="1:41" ht="20.25" thickBot="1">
      <c r="A28" s="8"/>
      <c r="B28" s="14" t="s">
        <v>11</v>
      </c>
      <c r="C28" s="14"/>
      <c r="D28" s="15"/>
      <c r="E28" s="16"/>
      <c r="F28" s="9" t="s">
        <v>15</v>
      </c>
      <c r="G28" s="14"/>
      <c r="H28" s="15" t="s">
        <v>10</v>
      </c>
      <c r="I28" s="16"/>
      <c r="J28" s="14"/>
      <c r="K28" s="9"/>
      <c r="L28" s="15"/>
      <c r="M28" s="16" t="s">
        <v>7</v>
      </c>
      <c r="N28" s="14" t="s">
        <v>13</v>
      </c>
      <c r="O28" s="14"/>
      <c r="P28" s="10"/>
      <c r="AL28" s="4">
        <v>8</v>
      </c>
      <c r="AN28" s="4" t="str">
        <f t="shared" si="1"/>
        <v>I</v>
      </c>
      <c r="AO28" s="4">
        <f t="shared" si="2"/>
        <v>0</v>
      </c>
    </row>
    <row r="29" spans="1:41" ht="20.25" thickTop="1">
      <c r="A29" s="1"/>
      <c r="B29" s="17" t="s">
        <v>17</v>
      </c>
      <c r="C29" s="17"/>
      <c r="D29" s="18"/>
      <c r="E29" s="19" t="s">
        <v>10</v>
      </c>
      <c r="F29" s="2"/>
      <c r="G29" s="17" t="s">
        <v>6</v>
      </c>
      <c r="H29" s="18"/>
      <c r="I29" s="19"/>
      <c r="J29" s="17" t="s">
        <v>16</v>
      </c>
      <c r="K29" s="2"/>
      <c r="L29" s="18"/>
      <c r="M29" s="19" t="s">
        <v>20</v>
      </c>
      <c r="N29" s="17"/>
      <c r="O29" s="17" t="s">
        <v>8</v>
      </c>
      <c r="P29" s="3"/>
      <c r="AL29" s="4">
        <v>9</v>
      </c>
      <c r="AN29" s="4" t="str">
        <f t="shared" si="1"/>
        <v>N</v>
      </c>
      <c r="AO29" s="4">
        <f t="shared" si="2"/>
        <v>3</v>
      </c>
    </row>
    <row r="30" spans="1:41" ht="19.5">
      <c r="A30" s="5" t="s">
        <v>10</v>
      </c>
      <c r="B30" s="11"/>
      <c r="C30" s="11"/>
      <c r="D30" s="12" t="s">
        <v>6</v>
      </c>
      <c r="E30" s="13"/>
      <c r="F30" s="6"/>
      <c r="G30" s="11"/>
      <c r="H30" s="12"/>
      <c r="I30" s="13"/>
      <c r="J30" s="11"/>
      <c r="K30" s="6"/>
      <c r="L30" s="12" t="s">
        <v>19</v>
      </c>
      <c r="M30" s="13"/>
      <c r="N30" s="11"/>
      <c r="O30" s="11" t="s">
        <v>5</v>
      </c>
      <c r="P30" s="7" t="s">
        <v>18</v>
      </c>
      <c r="AL30" s="4">
        <v>10</v>
      </c>
      <c r="AN30" s="4" t="str">
        <f t="shared" si="1"/>
        <v>D</v>
      </c>
      <c r="AO30" s="4">
        <f t="shared" si="2"/>
        <v>0</v>
      </c>
    </row>
    <row r="31" spans="1:41" ht="19.5">
      <c r="A31" s="5"/>
      <c r="B31" s="6"/>
      <c r="C31" s="6"/>
      <c r="D31" s="7" t="s">
        <v>14</v>
      </c>
      <c r="E31" s="5"/>
      <c r="F31" s="6"/>
      <c r="G31" s="6"/>
      <c r="H31" s="7" t="s">
        <v>20</v>
      </c>
      <c r="I31" s="5"/>
      <c r="J31" s="6"/>
      <c r="K31" s="6" t="s">
        <v>5</v>
      </c>
      <c r="L31" s="7"/>
      <c r="M31" s="5" t="s">
        <v>11</v>
      </c>
      <c r="N31" s="6"/>
      <c r="O31" s="6"/>
      <c r="P31" s="7" t="s">
        <v>7</v>
      </c>
      <c r="AL31" s="4">
        <v>11</v>
      </c>
      <c r="AN31" s="4" t="str">
        <f t="shared" si="1"/>
        <v>R</v>
      </c>
      <c r="AO31" s="4">
        <f t="shared" si="2"/>
        <v>6</v>
      </c>
    </row>
    <row r="32" spans="1:41" ht="20.25" thickBot="1">
      <c r="A32" s="8"/>
      <c r="B32" s="14" t="s">
        <v>18</v>
      </c>
      <c r="C32" s="14"/>
      <c r="D32" s="15"/>
      <c r="E32" s="16"/>
      <c r="F32" s="9"/>
      <c r="G32" s="14" t="s">
        <v>5</v>
      </c>
      <c r="H32" s="15"/>
      <c r="I32" s="16"/>
      <c r="J32" s="14"/>
      <c r="K32" s="9"/>
      <c r="L32" s="15" t="s">
        <v>12</v>
      </c>
      <c r="M32" s="16"/>
      <c r="N32" s="14"/>
      <c r="O32" s="14"/>
      <c r="P32" s="10"/>
      <c r="AL32" s="4">
        <v>12</v>
      </c>
      <c r="AN32" s="4" t="str">
        <f t="shared" si="1"/>
        <v>A</v>
      </c>
      <c r="AO32" s="4">
        <f t="shared" si="2"/>
        <v>2</v>
      </c>
    </row>
    <row r="33" spans="1:41" ht="20.25" thickTop="1">
      <c r="A33" s="1" t="s">
        <v>5</v>
      </c>
      <c r="B33" s="17"/>
      <c r="C33" s="17" t="s">
        <v>6</v>
      </c>
      <c r="D33" s="18"/>
      <c r="E33" s="19"/>
      <c r="F33" s="2" t="s">
        <v>13</v>
      </c>
      <c r="G33" s="17"/>
      <c r="H33" s="18"/>
      <c r="I33" s="19" t="s">
        <v>14</v>
      </c>
      <c r="J33" s="17" t="s">
        <v>11</v>
      </c>
      <c r="K33" s="2"/>
      <c r="L33" s="18"/>
      <c r="M33" s="19"/>
      <c r="N33" s="17" t="s">
        <v>8</v>
      </c>
      <c r="O33" s="17"/>
      <c r="P33" s="3" t="s">
        <v>17</v>
      </c>
      <c r="AL33" s="4">
        <v>13</v>
      </c>
      <c r="AN33" s="4" t="str">
        <f t="shared" si="1"/>
        <v>L</v>
      </c>
      <c r="AO33" s="4">
        <f t="shared" si="2"/>
        <v>6</v>
      </c>
    </row>
    <row r="34" spans="1:41" ht="19.5">
      <c r="A34" s="5"/>
      <c r="B34" s="11" t="s">
        <v>12</v>
      </c>
      <c r="C34" s="11"/>
      <c r="D34" s="12"/>
      <c r="E34" s="13"/>
      <c r="F34" s="6"/>
      <c r="G34" s="11"/>
      <c r="H34" s="12" t="s">
        <v>19</v>
      </c>
      <c r="I34" s="13"/>
      <c r="J34" s="11" t="s">
        <v>10</v>
      </c>
      <c r="K34" s="6"/>
      <c r="L34" s="12"/>
      <c r="M34" s="13" t="s">
        <v>18</v>
      </c>
      <c r="N34" s="11"/>
      <c r="O34" s="11" t="s">
        <v>11</v>
      </c>
      <c r="P34" s="7" t="s">
        <v>9</v>
      </c>
      <c r="AL34" s="4">
        <v>14</v>
      </c>
      <c r="AN34" s="4" t="str">
        <f t="shared" si="1"/>
        <v>U</v>
      </c>
      <c r="AO34" s="4">
        <f t="shared" si="2"/>
        <v>4</v>
      </c>
    </row>
    <row r="35" spans="1:41" ht="19.5">
      <c r="A35" s="5" t="s">
        <v>11</v>
      </c>
      <c r="B35" s="11"/>
      <c r="C35" s="11"/>
      <c r="D35" s="12" t="s">
        <v>17</v>
      </c>
      <c r="E35" s="13"/>
      <c r="F35" s="6" t="s">
        <v>14</v>
      </c>
      <c r="G35" s="11"/>
      <c r="H35" s="12" t="s">
        <v>18</v>
      </c>
      <c r="I35" s="13"/>
      <c r="J35" s="11"/>
      <c r="K35" s="6"/>
      <c r="L35" s="12" t="s">
        <v>9</v>
      </c>
      <c r="M35" s="13"/>
      <c r="N35" s="11"/>
      <c r="O35" s="11" t="s">
        <v>7</v>
      </c>
      <c r="P35" s="7"/>
      <c r="AL35" s="4">
        <v>15</v>
      </c>
      <c r="AN35" s="4" t="str">
        <f t="shared" si="1"/>
        <v>H</v>
      </c>
      <c r="AO35" s="4">
        <f t="shared" si="2"/>
        <v>7</v>
      </c>
    </row>
    <row r="36" spans="1:41" ht="20.25" thickBot="1">
      <c r="A36" s="8"/>
      <c r="B36" s="9"/>
      <c r="C36" s="9" t="s">
        <v>18</v>
      </c>
      <c r="D36" s="10" t="s">
        <v>15</v>
      </c>
      <c r="E36" s="8"/>
      <c r="F36" s="9"/>
      <c r="G36" s="9" t="s">
        <v>9</v>
      </c>
      <c r="H36" s="10"/>
      <c r="I36" s="8"/>
      <c r="J36" s="9" t="s">
        <v>12</v>
      </c>
      <c r="K36" s="9"/>
      <c r="L36" s="10"/>
      <c r="M36" s="8" t="s">
        <v>13</v>
      </c>
      <c r="N36" s="9"/>
      <c r="O36" s="9" t="s">
        <v>14</v>
      </c>
      <c r="P36" s="10"/>
      <c r="AL36" s="4">
        <v>16</v>
      </c>
      <c r="AN36" s="4" t="str">
        <f t="shared" si="1"/>
        <v>C</v>
      </c>
      <c r="AO36" s="4">
        <f t="shared" si="2"/>
        <v>4</v>
      </c>
    </row>
    <row r="37" ht="20.25" thickTop="1"/>
  </sheetData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Markov</dc:creator>
  <cp:keywords/>
  <dc:description/>
  <cp:lastModifiedBy>Michael Markov</cp:lastModifiedBy>
  <cp:lastPrinted>2011-08-19T14:32:59Z</cp:lastPrinted>
  <dcterms:created xsi:type="dcterms:W3CDTF">2011-07-09T12:41:06Z</dcterms:created>
  <dcterms:modified xsi:type="dcterms:W3CDTF">2011-10-28T02:15:28Z</dcterms:modified>
  <cp:category/>
  <cp:version/>
  <cp:contentType/>
  <cp:contentStatus/>
</cp:coreProperties>
</file>